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eanderssen002\Documents\DHO\"/>
    </mc:Choice>
  </mc:AlternateContent>
  <xr:revisionPtr revIDLastSave="0" documentId="13_ncr:1_{9AB86F61-CD19-4605-99F2-D53207A8AE85}" xr6:coauthVersionLast="47" xr6:coauthVersionMax="47" xr10:uidLastSave="{00000000-0000-0000-0000-000000000000}"/>
  <bookViews>
    <workbookView xWindow="-108" yWindow="-108" windowWidth="23256" windowHeight="13896" xr2:uid="{6EA57372-CFC4-4A3E-B826-8A56C6B1996B}"/>
  </bookViews>
  <sheets>
    <sheet name="Introduksjon" sheetId="19" r:id="rId1"/>
    <sheet name="Kostnadsoversikt" sheetId="2" r:id="rId2"/>
    <sheet name="Måltall og kostnadsestimering" sheetId="14" r:id="rId3"/>
    <sheet name="Faktisk antall brukere" sheetId="18" r:id="rId4"/>
    <sheet name="Fakturerbart antall brukere" sheetId="13" r:id="rId5"/>
    <sheet name="Fakturering" sheetId="16" r:id="rId6"/>
  </sheets>
  <definedNames>
    <definedName name="Dagskost_Kommune">#REF!</definedName>
    <definedName name="Dagskost_Sykehus">#REF!</definedName>
    <definedName name="Timeslønn.Sykeplei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2" l="1"/>
  <c r="M31" i="14"/>
  <c r="F23" i="2"/>
  <c r="F31" i="14" s="1"/>
  <c r="F20" i="2"/>
  <c r="C17" i="2"/>
  <c r="C30" i="14" s="1"/>
  <c r="E16" i="2"/>
  <c r="L31" i="14" l="1"/>
  <c r="D31" i="14"/>
  <c r="C31" i="14"/>
  <c r="K31" i="14"/>
  <c r="J31" i="14"/>
  <c r="E31" i="14"/>
  <c r="I31" i="14"/>
  <c r="N31" i="14"/>
  <c r="H31" i="14"/>
  <c r="G31" i="14"/>
  <c r="N7" i="13"/>
  <c r="N8" i="13"/>
  <c r="N9" i="13"/>
  <c r="N10" i="13"/>
  <c r="N11" i="13"/>
  <c r="N12" i="13"/>
  <c r="N13" i="13"/>
  <c r="N14" i="13"/>
  <c r="N15" i="13"/>
  <c r="N16" i="13"/>
  <c r="N17" i="13"/>
  <c r="N18" i="13"/>
  <c r="N19" i="13"/>
  <c r="M7" i="13"/>
  <c r="M8" i="13"/>
  <c r="M9" i="13"/>
  <c r="M10" i="13"/>
  <c r="M11" i="13"/>
  <c r="M12" i="13"/>
  <c r="M13" i="13"/>
  <c r="M14" i="13"/>
  <c r="M15" i="13"/>
  <c r="M16" i="13"/>
  <c r="M17" i="13"/>
  <c r="M18" i="13"/>
  <c r="M19" i="13"/>
  <c r="L7" i="13"/>
  <c r="L8" i="13"/>
  <c r="L9" i="13"/>
  <c r="L10" i="13"/>
  <c r="L11" i="13"/>
  <c r="L12" i="13"/>
  <c r="L13" i="13"/>
  <c r="L14" i="13"/>
  <c r="L15" i="13"/>
  <c r="L16" i="13"/>
  <c r="L17" i="13"/>
  <c r="L18" i="13"/>
  <c r="L19" i="13"/>
  <c r="K7" i="13"/>
  <c r="K8" i="13"/>
  <c r="K9" i="13"/>
  <c r="K10" i="13"/>
  <c r="K11" i="13"/>
  <c r="K12" i="13"/>
  <c r="K13" i="13"/>
  <c r="K14" i="13"/>
  <c r="K15" i="13"/>
  <c r="K16" i="13"/>
  <c r="K17" i="13"/>
  <c r="K18" i="13"/>
  <c r="K19" i="13"/>
  <c r="J7" i="13"/>
  <c r="J8" i="13"/>
  <c r="J9" i="13"/>
  <c r="J10" i="13"/>
  <c r="J11" i="13"/>
  <c r="J12" i="13"/>
  <c r="J13" i="13"/>
  <c r="J14" i="13"/>
  <c r="J15" i="13"/>
  <c r="J16" i="13"/>
  <c r="J17" i="13"/>
  <c r="J18" i="13"/>
  <c r="J19" i="13"/>
  <c r="I7" i="13"/>
  <c r="I8" i="13"/>
  <c r="I9" i="13"/>
  <c r="I10" i="13"/>
  <c r="I11" i="13"/>
  <c r="I12" i="13"/>
  <c r="I13" i="13"/>
  <c r="I14" i="13"/>
  <c r="I15" i="13"/>
  <c r="I16" i="13"/>
  <c r="I17" i="13"/>
  <c r="I18" i="13"/>
  <c r="I19" i="13"/>
  <c r="H7" i="13"/>
  <c r="H8" i="13"/>
  <c r="H9" i="13"/>
  <c r="H10" i="13"/>
  <c r="H11" i="13"/>
  <c r="H12" i="13"/>
  <c r="H13" i="13"/>
  <c r="H14" i="13"/>
  <c r="H15" i="13"/>
  <c r="H16" i="13"/>
  <c r="H17" i="13"/>
  <c r="H18" i="13"/>
  <c r="H19" i="13"/>
  <c r="G7" i="13"/>
  <c r="G8" i="13"/>
  <c r="G9" i="13"/>
  <c r="G10" i="13"/>
  <c r="G11" i="13"/>
  <c r="G12" i="13"/>
  <c r="G13" i="13"/>
  <c r="G14" i="13"/>
  <c r="G15" i="13"/>
  <c r="G16" i="13"/>
  <c r="G17" i="13"/>
  <c r="G18" i="13"/>
  <c r="G19" i="13"/>
  <c r="F7" i="13"/>
  <c r="F8" i="13"/>
  <c r="F9" i="13"/>
  <c r="F10" i="13"/>
  <c r="F11" i="13"/>
  <c r="F12" i="13"/>
  <c r="F13" i="13"/>
  <c r="F14" i="13"/>
  <c r="F15" i="13"/>
  <c r="F16" i="13"/>
  <c r="F17" i="13"/>
  <c r="F18" i="13"/>
  <c r="F19" i="13"/>
  <c r="E7" i="13"/>
  <c r="E8" i="13"/>
  <c r="E9" i="13"/>
  <c r="E10" i="13"/>
  <c r="E11" i="13"/>
  <c r="E12" i="13"/>
  <c r="E13" i="13"/>
  <c r="E14" i="13"/>
  <c r="E15" i="13"/>
  <c r="E16" i="13"/>
  <c r="E17" i="13"/>
  <c r="E18" i="13"/>
  <c r="E19" i="13"/>
  <c r="D8" i="13"/>
  <c r="D9" i="13"/>
  <c r="D10" i="13"/>
  <c r="D11" i="13"/>
  <c r="D12" i="13"/>
  <c r="D13" i="13"/>
  <c r="D14" i="13"/>
  <c r="D15" i="13"/>
  <c r="D16" i="13"/>
  <c r="D17" i="13"/>
  <c r="D18" i="13"/>
  <c r="D19" i="13"/>
  <c r="D7" i="13"/>
  <c r="C8" i="13"/>
  <c r="C9" i="13"/>
  <c r="C10" i="13"/>
  <c r="C11" i="13"/>
  <c r="C12" i="13"/>
  <c r="C13" i="13"/>
  <c r="C14" i="13"/>
  <c r="C15" i="13"/>
  <c r="C16" i="13"/>
  <c r="C17" i="13"/>
  <c r="C18" i="13"/>
  <c r="C19" i="13"/>
  <c r="C7" i="13"/>
  <c r="O7" i="18"/>
  <c r="P7" i="18" s="1"/>
  <c r="O8" i="18"/>
  <c r="P8" i="18" s="1"/>
  <c r="O9" i="18"/>
  <c r="P9" i="18" s="1"/>
  <c r="O10" i="18"/>
  <c r="P10" i="18" s="1"/>
  <c r="O11" i="18"/>
  <c r="P11" i="18" s="1"/>
  <c r="O12" i="18"/>
  <c r="P12" i="18" s="1"/>
  <c r="O13" i="18"/>
  <c r="P13" i="18" s="1"/>
  <c r="O14" i="18"/>
  <c r="P14" i="18" s="1"/>
  <c r="O15" i="18"/>
  <c r="P15" i="18" s="1"/>
  <c r="O16" i="18"/>
  <c r="P16" i="18" s="1"/>
  <c r="O17" i="18"/>
  <c r="P17" i="18" s="1"/>
  <c r="O18" i="18"/>
  <c r="P18" i="18" s="1"/>
  <c r="O19" i="18"/>
  <c r="P19" i="18" s="1"/>
  <c r="Q18" i="14"/>
  <c r="C23" i="14"/>
  <c r="C6" i="2"/>
  <c r="N23" i="14"/>
  <c r="M23" i="14"/>
  <c r="L23" i="14"/>
  <c r="K23" i="14"/>
  <c r="J23" i="14"/>
  <c r="I23" i="14"/>
  <c r="H23" i="14"/>
  <c r="G23" i="14"/>
  <c r="F23" i="14"/>
  <c r="E23" i="14"/>
  <c r="D23" i="14"/>
  <c r="Q7" i="14"/>
  <c r="Q8" i="14"/>
  <c r="Q9" i="14"/>
  <c r="Q10" i="14"/>
  <c r="Q11" i="14"/>
  <c r="Q12" i="14"/>
  <c r="Q13" i="14"/>
  <c r="Q14" i="14"/>
  <c r="Q15" i="14"/>
  <c r="Q16" i="14"/>
  <c r="Q17" i="14"/>
  <c r="Q6" i="14"/>
  <c r="O6" i="14"/>
  <c r="O7" i="14"/>
  <c r="O8" i="14"/>
  <c r="O9" i="14"/>
  <c r="O10" i="14"/>
  <c r="O11" i="14"/>
  <c r="O12" i="14"/>
  <c r="O13" i="14"/>
  <c r="O14" i="14"/>
  <c r="O15" i="14"/>
  <c r="O16" i="14"/>
  <c r="O17" i="14"/>
  <c r="O18" i="14"/>
  <c r="P14" i="14" l="1"/>
  <c r="P12" i="14"/>
  <c r="P13" i="14"/>
  <c r="P10" i="14"/>
  <c r="P9" i="14"/>
  <c r="P8" i="14"/>
  <c r="P11" i="14"/>
  <c r="P7" i="14"/>
  <c r="P6" i="14"/>
  <c r="P16" i="14"/>
  <c r="P15" i="14"/>
  <c r="P17" i="14"/>
  <c r="P18" i="14"/>
  <c r="O16" i="13"/>
  <c r="P16" i="13" s="1"/>
  <c r="O8" i="13"/>
  <c r="P8" i="13" s="1"/>
  <c r="O9" i="13"/>
  <c r="P9" i="13" s="1"/>
  <c r="O18" i="13"/>
  <c r="P18" i="13" s="1"/>
  <c r="O12" i="13"/>
  <c r="P12" i="13" s="1"/>
  <c r="O7" i="13"/>
  <c r="O14" i="13"/>
  <c r="P14" i="13" s="1"/>
  <c r="O13" i="13"/>
  <c r="P13" i="13" s="1"/>
  <c r="O15" i="13"/>
  <c r="P15" i="13" s="1"/>
  <c r="O10" i="13"/>
  <c r="P10" i="13" s="1"/>
  <c r="O19" i="13"/>
  <c r="P19" i="13" s="1"/>
  <c r="O11" i="13"/>
  <c r="P11" i="13" s="1"/>
  <c r="O17" i="13"/>
  <c r="P17" i="13" s="1"/>
  <c r="P23" i="14"/>
  <c r="P31" i="14"/>
  <c r="C26" i="14"/>
  <c r="M26" i="14"/>
  <c r="M30" i="14" s="1"/>
  <c r="N26" i="14"/>
  <c r="N30" i="14" s="1"/>
  <c r="K26" i="14"/>
  <c r="K29" i="14" s="1"/>
  <c r="D26" i="14"/>
  <c r="D30" i="14" s="1"/>
  <c r="E26" i="14"/>
  <c r="E29" i="14" s="1"/>
  <c r="F26" i="14"/>
  <c r="F29" i="14" s="1"/>
  <c r="G26" i="14"/>
  <c r="G30" i="14" s="1"/>
  <c r="I26" i="14"/>
  <c r="I30" i="14" s="1"/>
  <c r="H26" i="14"/>
  <c r="H30" i="14" s="1"/>
  <c r="J26" i="14"/>
  <c r="J30" i="14" s="1"/>
  <c r="L26" i="14"/>
  <c r="L30" i="14" s="1"/>
  <c r="O31" i="14"/>
  <c r="P7" i="13" l="1"/>
  <c r="C6" i="16"/>
  <c r="C7" i="16" s="1"/>
  <c r="C29" i="14"/>
  <c r="M29" i="14"/>
  <c r="M32" i="14" s="1"/>
  <c r="M37" i="14" s="1"/>
  <c r="N29" i="14"/>
  <c r="N32" i="14" s="1"/>
  <c r="D29" i="14"/>
  <c r="D32" i="14" s="1"/>
  <c r="L29" i="14"/>
  <c r="L32" i="14" s="1"/>
  <c r="L37" i="14" s="1"/>
  <c r="L38" i="14" s="1"/>
  <c r="L39" i="14" s="1"/>
  <c r="F30" i="14"/>
  <c r="F32" i="14" s="1"/>
  <c r="F37" i="14" s="1"/>
  <c r="O26" i="14"/>
  <c r="E30" i="14"/>
  <c r="E32" i="14" s="1"/>
  <c r="E37" i="14" s="1"/>
  <c r="E38" i="14" s="1"/>
  <c r="E39" i="14" s="1"/>
  <c r="J29" i="14"/>
  <c r="J32" i="14" s="1"/>
  <c r="J37" i="14" s="1"/>
  <c r="J38" i="14" s="1"/>
  <c r="J39" i="14" s="1"/>
  <c r="H29" i="14"/>
  <c r="H32" i="14" s="1"/>
  <c r="K30" i="14"/>
  <c r="I29" i="14"/>
  <c r="I32" i="14" s="1"/>
  <c r="I37" i="14" s="1"/>
  <c r="I38" i="14" s="1"/>
  <c r="I39" i="14" s="1"/>
  <c r="G29" i="14"/>
  <c r="G32" i="14" s="1"/>
  <c r="G37" i="14" s="1"/>
  <c r="G38" i="14" s="1"/>
  <c r="G39" i="14" s="1"/>
  <c r="E12" i="2" l="1"/>
  <c r="E17" i="2"/>
  <c r="C32" i="14"/>
  <c r="C37" i="14" s="1"/>
  <c r="N13" i="16"/>
  <c r="N25" i="16"/>
  <c r="M24" i="16"/>
  <c r="L23" i="16"/>
  <c r="J21" i="16"/>
  <c r="H19" i="16"/>
  <c r="F17" i="16"/>
  <c r="D15" i="16"/>
  <c r="H17" i="16"/>
  <c r="C24" i="16"/>
  <c r="N14" i="16"/>
  <c r="M13" i="16"/>
  <c r="M25" i="16"/>
  <c r="L24" i="16"/>
  <c r="K23" i="16"/>
  <c r="J22" i="16"/>
  <c r="I21" i="16"/>
  <c r="H20" i="16"/>
  <c r="G19" i="16"/>
  <c r="F18" i="16"/>
  <c r="E17" i="16"/>
  <c r="D16" i="16"/>
  <c r="K24" i="16"/>
  <c r="H21" i="16"/>
  <c r="F19" i="16"/>
  <c r="D17" i="16"/>
  <c r="N15" i="16"/>
  <c r="M14" i="16"/>
  <c r="L13" i="16"/>
  <c r="L25" i="16"/>
  <c r="J23" i="16"/>
  <c r="I22" i="16"/>
  <c r="G20" i="16"/>
  <c r="E18" i="16"/>
  <c r="C16" i="16"/>
  <c r="D25" i="16"/>
  <c r="N16" i="16"/>
  <c r="M15" i="16"/>
  <c r="L14" i="16"/>
  <c r="K13" i="16"/>
  <c r="K25" i="16"/>
  <c r="J24" i="16"/>
  <c r="I23" i="16"/>
  <c r="H22" i="16"/>
  <c r="G21" i="16"/>
  <c r="F20" i="16"/>
  <c r="E19" i="16"/>
  <c r="D18" i="16"/>
  <c r="K15" i="16"/>
  <c r="I25" i="16"/>
  <c r="F22" i="16"/>
  <c r="C19" i="16"/>
  <c r="F24" i="16"/>
  <c r="C21" i="16"/>
  <c r="E14" i="16"/>
  <c r="N17" i="16"/>
  <c r="M16" i="16"/>
  <c r="L15" i="16"/>
  <c r="K14" i="16"/>
  <c r="J13" i="16"/>
  <c r="J25" i="16"/>
  <c r="I24" i="16"/>
  <c r="H23" i="16"/>
  <c r="G22" i="16"/>
  <c r="F21" i="16"/>
  <c r="E20" i="16"/>
  <c r="D19" i="16"/>
  <c r="L16" i="16"/>
  <c r="H24" i="16"/>
  <c r="E21" i="16"/>
  <c r="I18" i="16"/>
  <c r="N18" i="16"/>
  <c r="M17" i="16"/>
  <c r="J14" i="16"/>
  <c r="I13" i="16"/>
  <c r="G23" i="16"/>
  <c r="D20" i="16"/>
  <c r="G25" i="16"/>
  <c r="N19" i="16"/>
  <c r="M18" i="16"/>
  <c r="L17" i="16"/>
  <c r="K16" i="16"/>
  <c r="J15" i="16"/>
  <c r="I14" i="16"/>
  <c r="H13" i="16"/>
  <c r="H25" i="16"/>
  <c r="G24" i="16"/>
  <c r="F23" i="16"/>
  <c r="E22" i="16"/>
  <c r="D21" i="16"/>
  <c r="I15" i="16"/>
  <c r="D22" i="16"/>
  <c r="G16" i="16"/>
  <c r="N20" i="16"/>
  <c r="M19" i="16"/>
  <c r="L18" i="16"/>
  <c r="K17" i="16"/>
  <c r="J16" i="16"/>
  <c r="H14" i="16"/>
  <c r="G13" i="16"/>
  <c r="E23" i="16"/>
  <c r="F15" i="16"/>
  <c r="N21" i="16"/>
  <c r="M20" i="16"/>
  <c r="L19" i="16"/>
  <c r="K18" i="16"/>
  <c r="J17" i="16"/>
  <c r="I16" i="16"/>
  <c r="H15" i="16"/>
  <c r="G14" i="16"/>
  <c r="F13" i="16"/>
  <c r="F25" i="16"/>
  <c r="E24" i="16"/>
  <c r="D23" i="16"/>
  <c r="N23" i="16"/>
  <c r="M22" i="16"/>
  <c r="L21" i="16"/>
  <c r="J19" i="16"/>
  <c r="D13" i="16"/>
  <c r="N22" i="16"/>
  <c r="M21" i="16"/>
  <c r="L20" i="16"/>
  <c r="K19" i="16"/>
  <c r="J18" i="16"/>
  <c r="I17" i="16"/>
  <c r="H16" i="16"/>
  <c r="G15" i="16"/>
  <c r="F14" i="16"/>
  <c r="E13" i="16"/>
  <c r="E25" i="16"/>
  <c r="D24" i="16"/>
  <c r="K20" i="16"/>
  <c r="N24" i="16"/>
  <c r="M23" i="16"/>
  <c r="L22" i="16"/>
  <c r="K21" i="16"/>
  <c r="J20" i="16"/>
  <c r="I19" i="16"/>
  <c r="H18" i="16"/>
  <c r="G17" i="16"/>
  <c r="F16" i="16"/>
  <c r="E15" i="16"/>
  <c r="D14" i="16"/>
  <c r="K22" i="16"/>
  <c r="I20" i="16"/>
  <c r="G18" i="16"/>
  <c r="E16" i="16"/>
  <c r="C14" i="16"/>
  <c r="C18" i="16"/>
  <c r="C17" i="16"/>
  <c r="C22" i="16"/>
  <c r="C20" i="16"/>
  <c r="C15" i="16"/>
  <c r="C13" i="16"/>
  <c r="C23" i="16"/>
  <c r="C25" i="16"/>
  <c r="D33" i="14"/>
  <c r="D34" i="14" s="1"/>
  <c r="D37" i="14"/>
  <c r="D38" i="14" s="1"/>
  <c r="D39" i="14" s="1"/>
  <c r="F38" i="14"/>
  <c r="F39" i="14" s="1"/>
  <c r="N33" i="14"/>
  <c r="N34" i="14" s="1"/>
  <c r="N37" i="14"/>
  <c r="N38" i="14" s="1"/>
  <c r="N39" i="14" s="1"/>
  <c r="M38" i="14"/>
  <c r="M39" i="14" s="1"/>
  <c r="H33" i="14"/>
  <c r="H34" i="14" s="1"/>
  <c r="H37" i="14"/>
  <c r="H38" i="14" s="1"/>
  <c r="H39" i="14" s="1"/>
  <c r="F33" i="14"/>
  <c r="F34" i="14" s="1"/>
  <c r="G33" i="14"/>
  <c r="G34" i="14" s="1"/>
  <c r="M33" i="14"/>
  <c r="M34" i="14" s="1"/>
  <c r="L33" i="14"/>
  <c r="L34" i="14" s="1"/>
  <c r="P30" i="14"/>
  <c r="F17" i="2" s="1"/>
  <c r="K32" i="14"/>
  <c r="K37" i="14" s="1"/>
  <c r="K38" i="14" s="1"/>
  <c r="K39" i="14" s="1"/>
  <c r="O30" i="14"/>
  <c r="E33" i="14"/>
  <c r="E34" i="14" s="1"/>
  <c r="O29" i="14"/>
  <c r="P29" i="14"/>
  <c r="F12" i="2" s="1"/>
  <c r="I33" i="14"/>
  <c r="I34" i="14" s="1"/>
  <c r="J33" i="14"/>
  <c r="J34" i="14" s="1"/>
  <c r="C33" i="14" l="1"/>
  <c r="C34" i="14" s="1"/>
  <c r="O37" i="14"/>
  <c r="C38" i="14"/>
  <c r="O38" i="14" s="1"/>
  <c r="P32" i="14"/>
  <c r="F27" i="2" s="1"/>
  <c r="O32" i="14"/>
  <c r="K33" i="14"/>
  <c r="K34" i="14" s="1"/>
  <c r="P37" i="14"/>
  <c r="F21" i="2"/>
  <c r="C39" i="14" l="1"/>
  <c r="O34" i="14"/>
  <c r="P33" i="14"/>
  <c r="P38" i="14"/>
  <c r="P34" i="14"/>
  <c r="O33" i="14"/>
  <c r="O39" i="14" l="1"/>
  <c r="C41" i="14" s="1"/>
  <c r="P39" i="14"/>
  <c r="F29" i="2"/>
  <c r="F30" i="2" s="1"/>
  <c r="O25" i="16" l="1"/>
  <c r="O22" i="16"/>
  <c r="O17" i="16"/>
  <c r="O16" i="16"/>
  <c r="O21" i="16"/>
  <c r="O13" i="16"/>
  <c r="O19" i="16"/>
  <c r="O20" i="16"/>
  <c r="O23" i="16"/>
  <c r="O24" i="16"/>
  <c r="O15" i="16"/>
  <c r="O18" i="16"/>
  <c r="O14" i="16"/>
  <c r="O11" i="16" l="1"/>
</calcChain>
</file>

<file path=xl/sharedStrings.xml><?xml version="1.0" encoding="utf-8"?>
<sst xmlns="http://schemas.openxmlformats.org/spreadsheetml/2006/main" count="246" uniqueCount="141">
  <si>
    <t>Kommune</t>
  </si>
  <si>
    <t>Faste kostnader</t>
  </si>
  <si>
    <t>Enhet</t>
  </si>
  <si>
    <t>Husleie</t>
  </si>
  <si>
    <t>Lønnskostnad</t>
  </si>
  <si>
    <t>Arbeidsstasjon</t>
  </si>
  <si>
    <t>Administrasjon</t>
  </si>
  <si>
    <t>ÅV</t>
  </si>
  <si>
    <t>Stk</t>
  </si>
  <si>
    <t>Kostnadspost</t>
  </si>
  <si>
    <t>Enhetskostnad, NOK</t>
  </si>
  <si>
    <t>Per år, NOK</t>
  </si>
  <si>
    <t>Sum faste kostnader</t>
  </si>
  <si>
    <t>Overhead</t>
  </si>
  <si>
    <t>80 pasienter</t>
  </si>
  <si>
    <t>Risikopåslag</t>
  </si>
  <si>
    <t>jan.25</t>
  </si>
  <si>
    <t>feb.25</t>
  </si>
  <si>
    <t>mar.25</t>
  </si>
  <si>
    <t>apr.25</t>
  </si>
  <si>
    <t>mai.25</t>
  </si>
  <si>
    <t>jun.25</t>
  </si>
  <si>
    <t>jul.25</t>
  </si>
  <si>
    <t>aug.25</t>
  </si>
  <si>
    <t>sep.25</t>
  </si>
  <si>
    <t>okt.25</t>
  </si>
  <si>
    <t>nov.25</t>
  </si>
  <si>
    <t>des.25</t>
  </si>
  <si>
    <t>Totalt 2025</t>
  </si>
  <si>
    <t>Snitt 2025</t>
  </si>
  <si>
    <t>Antall pasienter per 1 ÅV sykepleier</t>
  </si>
  <si>
    <t>Ekstra kapasitet for håndtering av endringer</t>
  </si>
  <si>
    <t>Antall aktive måneder for bruk av tjenesten</t>
  </si>
  <si>
    <t>Snitt per mnd i tjenesten</t>
  </si>
  <si>
    <t>Måltall tjenestemottakere</t>
  </si>
  <si>
    <t>ÅV-behov inkl. sikkerhetsmargin</t>
  </si>
  <si>
    <t xml:space="preserve">Lønn per mnd </t>
  </si>
  <si>
    <t>Sum kostnader per mnd</t>
  </si>
  <si>
    <t>Nødvendig bemanning for perioden og kostnader for perioden</t>
  </si>
  <si>
    <t>Snittantall for perioden</t>
  </si>
  <si>
    <t>Snittkostnad per tjenestemottaker</t>
  </si>
  <si>
    <t>Snitt for perioden</t>
  </si>
  <si>
    <t>Antall pasienter per 1 ÅV inkl.ekstra kapasitet</t>
  </si>
  <si>
    <t>Risikopåslag totalt</t>
  </si>
  <si>
    <t>Pris per tjenestmottaker</t>
  </si>
  <si>
    <t>Finansieringsbehov inkl. risikopåslag</t>
  </si>
  <si>
    <t>Totalt finansieringsbehov</t>
  </si>
  <si>
    <t>Risikopåslag per tjenestemottaker</t>
  </si>
  <si>
    <t>Måltall per måned  for kommunene i perioden</t>
  </si>
  <si>
    <t>BENYTTES FØR PERIODENS START</t>
  </si>
  <si>
    <t>Summen av måltall per måned for perioden</t>
  </si>
  <si>
    <t>Esimering av ressursbehovet:</t>
  </si>
  <si>
    <t>Estimering av kostnader og finansieringsbehovet:</t>
  </si>
  <si>
    <t>Estimering av prisen per tjenestemottaker</t>
  </si>
  <si>
    <t>Pris per tjenestemottaker som kommuniseres til kommunene</t>
  </si>
  <si>
    <t>NOK per mnd</t>
  </si>
  <si>
    <t>Sum for hele perioden</t>
  </si>
  <si>
    <t>Inputcellene</t>
  </si>
  <si>
    <t>Kommentar</t>
  </si>
  <si>
    <t>Inngår i overhead</t>
  </si>
  <si>
    <t>Denne størrelsen beregnes i dette arket som produkt av ÅV og kostnad per ÅV</t>
  </si>
  <si>
    <t>Månedlige måltall for antall tjenestemottakere</t>
  </si>
  <si>
    <t>Antall tjenestemottakere kommunene faktureres for i perioden</t>
  </si>
  <si>
    <t>Kommunene faktureres for 
1.	Faktisk antall tjenestemottakere for de månedene kommunen oppfyller det månedlige måltallet;
2. 	Måltallet for måneden for kommunen for de månedene hvor kommunen har færre tjenestemottakere enn det månedlige måltallet tilsier</t>
  </si>
  <si>
    <t>Fakturering for  2025</t>
  </si>
  <si>
    <t>Fakturering per kommune</t>
  </si>
  <si>
    <t>Her legges inn faktisk antall tjenestemottakere per kommune per måned</t>
  </si>
  <si>
    <t>Overhead er en funksjon av antall ÅV for året som vil variere, totalen beregnes i arkfanen  "Måltall og kostnadsestimering"</t>
  </si>
  <si>
    <t>Inputceller</t>
  </si>
  <si>
    <t>Tabellen henter antall tjenestemottakeren kommunen skal faktureres for fra tabellene "Måltall" og  "Faktisk antall brukere", velger den største blant de to og ganger opp med prisen fra arkfanen "Måltall og kostnadsestimering"</t>
  </si>
  <si>
    <t>Faktiske kostnader for perioden:</t>
  </si>
  <si>
    <t>legges inn fra regnskapet, sammenstilles av controlleren</t>
  </si>
  <si>
    <t>Antall tjenestemottakere kostnaden skal fordeles på:</t>
  </si>
  <si>
    <t>hentes fra tabellen "Fakturerbart antall brukere"</t>
  </si>
  <si>
    <t>Endelig pris per tjenestemottaker per måned</t>
  </si>
  <si>
    <t>Faktisk antall tjenestemottakere per måned i perioden</t>
  </si>
  <si>
    <t>Estimering av kostnadene for driften i perioden</t>
  </si>
  <si>
    <t>Kommune A</t>
  </si>
  <si>
    <t>Kommune B</t>
  </si>
  <si>
    <t>Kommune C</t>
  </si>
  <si>
    <t>Kommune D</t>
  </si>
  <si>
    <t>Kommune E</t>
  </si>
  <si>
    <t>Kommune F</t>
  </si>
  <si>
    <t>Kommune G</t>
  </si>
  <si>
    <t>Kommune H</t>
  </si>
  <si>
    <t>Kommune I</t>
  </si>
  <si>
    <t>Kommune J</t>
  </si>
  <si>
    <t>Kommune K</t>
  </si>
  <si>
    <t>Kommune L</t>
  </si>
  <si>
    <t>Kommune M</t>
  </si>
  <si>
    <t>Input i denne tabellen: kommunenavn, resten av informasjonen hentes automatisk fra de andre tabellene</t>
  </si>
  <si>
    <t>Sjekk:</t>
  </si>
  <si>
    <t>Grunnlaget for beregninger:</t>
  </si>
  <si>
    <t>Faktisk månedlig antall tjenestemottakere</t>
  </si>
  <si>
    <t>Fakturerbart månedlig antall tjenestemottakere</t>
  </si>
  <si>
    <t>Kort introduksjon</t>
  </si>
  <si>
    <t>Det kan imidlertidig fungere som et utgangspunkt for andre som ønsker å ta i bruk lignende tjenesteprismodell.</t>
  </si>
  <si>
    <t>Merk at teknologiske kostnader (digitalt system og medisinsk teknisk utstyr) ikke er tatt med i denne modellen.</t>
  </si>
  <si>
    <t xml:space="preserve">Modellen bygger på at man fyller ut </t>
  </si>
  <si>
    <t>som er merket med gult.</t>
  </si>
  <si>
    <t>Det er svært viktig at kommunenavn fylles ut, det fungerer som nøkkel for sammenkobling av tabeller og dermed innhentinger av informasjon</t>
  </si>
  <si>
    <t>fra inputtabellene ("Måltall" og "Faktisk antall brukere" )  til beregningstabellene  ( "Fakturerbart antall brukere" og "Fakturering").</t>
  </si>
  <si>
    <t>Se Word-filen for detaljert beskrivelsen av modellen. Den overordnede tidsløpet for modellen ser slik ut:</t>
  </si>
  <si>
    <t>Måltall og kostnadsestimering</t>
  </si>
  <si>
    <t>Steg 1: Før periodens start</t>
  </si>
  <si>
    <t xml:space="preserve">For å kunne estimere kostnader og estimert pris per tjenestemottaker, hent inn kommunenes forventede måltall (antall brukere) per måned </t>
  </si>
  <si>
    <t>og legg dem inn tabell "Måltall per måned  for kommunene i perioden" i arkfanen</t>
  </si>
  <si>
    <t>Antall kolonner kan reduseres eller økes ved å legge til flere kolonnenavn</t>
  </si>
  <si>
    <t>Antall ÅV for året vil variere og totalen beregnes i arkfanen "Måltall og kostnadsestimering". I denne linjen legges inn ÅV-kostnaden i kolonnen Enhetskostnad, NOK</t>
  </si>
  <si>
    <t>ÅV-kostaden:</t>
  </si>
  <si>
    <t>Kostnadsposter drevet av ÅV:</t>
  </si>
  <si>
    <t>Sum ÅV-drevne kostnader</t>
  </si>
  <si>
    <t>Sum kostnader som drives av ÅV</t>
  </si>
  <si>
    <t>Kostnader som er uavhengige av mindre endringer i ÅV:</t>
  </si>
  <si>
    <t>Sum kostnader uavhengig av ÅV:</t>
  </si>
  <si>
    <t>Denne størrelsen av summering av kostnader som ikke er direkte drevet av ÅV</t>
  </si>
  <si>
    <t>Grunnen til dette er at kostnader kan være:</t>
  </si>
  <si>
    <t>- Kostnaden for personell - ÅV, men antall ÅV vil avhenge av forventet antall brukere, og kan variere fra måned til måned hvis nye kommuner kobler seg på ila.perioden</t>
  </si>
  <si>
    <t xml:space="preserve"> Dermed legges det opp til at kostnaden per ÅV legges inn i arkfanen "Kostnadsoversikten", mens antall ÅV beregnes basert på innmeldte måltall  i arkfanen " Måltall og kostnadsestimering" (rad 29)</t>
  </si>
  <si>
    <t>- Kostnader som drives av ÅV, som for eksempel overhead, legges inn i Kostnadsoversikten, og summen hentes inn i "Måltall og kostnadsestimering" (rad 30) for å estimere kostnader.</t>
  </si>
  <si>
    <t>- Kostnader som er uavhengige av mindre endringer i ÅV, for eksempel administrasjon, legges inn i Kostnadsoversikten, for så å bli hentet inn i arkfanen "Måltall og kostnadsestimering" (rad 31) og fordeles jevnt per måned</t>
  </si>
  <si>
    <t>Kostnadene estimeres i både i arkfanene "Kostnadsoversikt" og "Måltall og kostnadsestimering" fordi deler av kostnader vil avhenge av antall brukere.</t>
  </si>
  <si>
    <t xml:space="preserve">Når alle kostnadsvariablene og måltall er lagt inn i "Kostnadsoversikt" og "Måltall og kostnadsestimering", beregnes de estimerte kostnadene i tabellen </t>
  </si>
  <si>
    <t>Den estimerte prisen vises under tabellen:</t>
  </si>
  <si>
    <t>Merk at tabellen Nødvendig bemanning for perioden og kostnader for perioden er tilpasset et konkret case, og det kan være behov for å justere denne for andre DHO.</t>
  </si>
  <si>
    <t>Man beregner estimerte kostnader, legger på eventuelt risikopåslag og summerer disse. Videre beregnes kostnad, risikopåslag og estimert pris per tjenestemottaker.</t>
  </si>
  <si>
    <t>Steg 2: Periodens løp</t>
  </si>
  <si>
    <t>Under periodens løp registreres antall faktiske tjenestemottakere i tabellen "Faktisk antall tjenestemottakere per måned i perioden" i arkfanen</t>
  </si>
  <si>
    <t>Faktisk antall brukere</t>
  </si>
  <si>
    <t>Eventuelle oppdateringer måltall legges inn i tabellen "Måltall per måned  for kommunene i perioden" i arkfanen "Måltall og kostnadsestimering". Merk at justering av måltall kan føre til at prisen rekalibreres. Ta back-up av den opprinnelige versjonen ved behov.</t>
  </si>
  <si>
    <t>Steg 3: Periodens slutt</t>
  </si>
  <si>
    <t>Når endelige kostnader er kjent, legges disse inn i arkfanen "Fakturering":</t>
  </si>
  <si>
    <t>automatisk  sammenstille antall brukere kostandene skal fordeles på og som kommunene skal faktureres for.</t>
  </si>
  <si>
    <t>Når antall faktiske tjenestemottakere er lagt inn i "Faktisk antall brukere", vil tabellen "Antall tjenestemottakere kommunene faktureres for i perioden" i arkfanen</t>
  </si>
  <si>
    <t>Fakturerbart antall brukere</t>
  </si>
  <si>
    <t>Antall tjenestemottakere kostnaden skal fordeles på blir hentet automatisk fra tabellen "Antall tjenestemottakere kommunene faktureres for i perioden"</t>
  </si>
  <si>
    <t>Samtidig vises den endelige prisen per tjenestemottaker i cellen C7 i akrfanen "Fakturering"</t>
  </si>
  <si>
    <t>vis</t>
  </si>
  <si>
    <t>Summen som skal faktureres per kommune vises i kolonnen "Fakturering for 2025". Navnet kan endres til en annen periode ved behov.</t>
  </si>
  <si>
    <t>Under finner dere en kort brukerveiledning som forteller hvordan de ulike arkfanene og tabellene støttet opp under løpet skissert i Word-filen.</t>
  </si>
  <si>
    <t>Dette verktøyet er utarbeidet for et konkret DHO-prosjekt og er tilpasset deres behov.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</si>
</sst>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 #,##0.00_-;_-* &quot;-&quot;??_-;_-@_-"/>
    <numFmt numFmtId="165" formatCode="_-* #,##0_-;\-* #,##0_-;_-* &quot;-&quot;??_-;_-@_-"/>
    <numFmt numFmtId="166" formatCode="0.0\ %"/>
    <numFmt numFmtId="167" formatCode="0.0"/>
    <numFmt numFmtId="168" formatCode="_-* #,##0.0_-;\-* #,##0.0_-;_-* &quot;-&quot;??_-;_-@_-"/>
    <numFmt numFmtId="169" formatCode="_ * #,##0_ ;_ * \-#,##0_ ;_ * &quot;-&quot;?_ ;_ @_ "/>
    <numFmt numFmtId="170" formatCode="_ * #,##0.0_ ;_ * \-#,##0.0_ ;_ * &quot;-&quot;?_ ;_ @_ "/>
  </numFmts>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1"/>
      <color theme="3"/>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b/>
      <i/>
      <sz val="11"/>
      <color theme="1"/>
      <name val="Calibri"/>
      <family val="2"/>
      <scheme val="minor"/>
    </font>
    <font>
      <sz val="11"/>
      <color rgb="FF000000"/>
      <name val="Calibri"/>
      <family val="2"/>
    </font>
    <font>
      <sz val="8"/>
      <name val="Calibri"/>
      <family val="2"/>
      <scheme val="minor"/>
    </font>
    <font>
      <sz val="11"/>
      <color theme="3"/>
      <name val="Calibri"/>
      <family val="2"/>
      <scheme val="minor"/>
    </font>
    <font>
      <b/>
      <sz val="11"/>
      <name val="Calibri"/>
      <family val="2"/>
      <scheme val="minor"/>
    </font>
    <font>
      <sz val="11"/>
      <name val="Calibri"/>
      <family val="2"/>
      <scheme val="minor"/>
    </font>
    <font>
      <sz val="18"/>
      <color theme="3"/>
      <name val="Georgia"/>
      <family val="1"/>
    </font>
    <font>
      <u/>
      <sz val="11"/>
      <color theme="10"/>
      <name val="Calibri"/>
      <family val="2"/>
      <scheme val="minor"/>
    </font>
    <font>
      <b/>
      <sz val="14"/>
      <color theme="3"/>
      <name val="Calibri"/>
      <family val="2"/>
      <scheme val="minor"/>
    </font>
    <font>
      <b/>
      <sz val="11"/>
      <color rgb="FFC00000"/>
      <name val="Calibri"/>
      <family val="2"/>
      <scheme val="minor"/>
    </font>
  </fonts>
  <fills count="10">
    <fill>
      <patternFill patternType="none"/>
    </fill>
    <fill>
      <patternFill patternType="gray125"/>
    </fill>
    <fill>
      <patternFill patternType="solid">
        <fgColor theme="0" tint="-0.14999847407452621"/>
        <bgColor theme="0" tint="-0.14999847407452621"/>
      </patternFill>
    </fill>
    <fill>
      <patternFill patternType="solid">
        <fgColor rgb="FFD8E6F6"/>
        <bgColor indexed="64"/>
      </patternFill>
    </fill>
    <fill>
      <patternFill patternType="solid">
        <fgColor theme="6" tint="0.79998168889431442"/>
        <bgColor theme="4" tint="0.79998168889431442"/>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D8E6F6"/>
        <bgColor theme="4"/>
      </patternFill>
    </fill>
  </fills>
  <borders count="28">
    <border>
      <left/>
      <right/>
      <top/>
      <bottom/>
      <diagonal/>
    </border>
    <border>
      <left/>
      <right/>
      <top/>
      <bottom style="thick">
        <color theme="4"/>
      </bottom>
      <diagonal/>
    </border>
    <border>
      <left/>
      <right/>
      <top style="thin">
        <color theme="4"/>
      </top>
      <bottom style="double">
        <color theme="4"/>
      </bottom>
      <diagonal/>
    </border>
    <border>
      <left/>
      <right/>
      <top/>
      <bottom style="thin">
        <color indexed="64"/>
      </bottom>
      <diagonal/>
    </border>
    <border>
      <left/>
      <right/>
      <top style="thin">
        <color theme="4"/>
      </top>
      <bottom/>
      <diagonal/>
    </border>
    <border>
      <left/>
      <right/>
      <top style="thin">
        <color theme="0" tint="-0.34998626667073579"/>
      </top>
      <bottom style="thin">
        <color theme="0" tint="-0.34998626667073579"/>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indexed="64"/>
      </bottom>
      <diagonal/>
    </border>
    <border>
      <left style="thin">
        <color theme="0" tint="-0.14996795556505021"/>
      </left>
      <right style="thin">
        <color theme="0" tint="-0.14996795556505021"/>
      </right>
      <top style="thin">
        <color theme="0" tint="-0.34998626667073579"/>
      </top>
      <bottom style="thin">
        <color theme="0" tint="-0.34998626667073579"/>
      </bottom>
      <diagonal/>
    </border>
    <border>
      <left style="thin">
        <color theme="0" tint="-0.14996795556505021"/>
      </left>
      <right style="thin">
        <color theme="0" tint="-0.14996795556505021"/>
      </right>
      <top style="thin">
        <color theme="4"/>
      </top>
      <bottom/>
      <diagonal/>
    </border>
    <border>
      <left/>
      <right/>
      <top/>
      <bottom style="medium">
        <color theme="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style="thin">
        <color theme="0" tint="-0.24994659260841701"/>
      </top>
      <bottom style="medium">
        <color theme="1"/>
      </bottom>
      <diagonal/>
    </border>
    <border>
      <left/>
      <right/>
      <top/>
      <bottom style="thin">
        <color theme="0" tint="-0.2499465926084170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top style="thin">
        <color theme="0" tint="-0.24994659260841701"/>
      </top>
      <bottom style="medium">
        <color theme="1"/>
      </bottom>
      <diagonal/>
    </border>
    <border>
      <left/>
      <right style="thin">
        <color theme="0" tint="-0.24994659260841701"/>
      </right>
      <top style="thin">
        <color theme="0" tint="-0.24994659260841701"/>
      </top>
      <bottom style="medium">
        <color theme="1"/>
      </bottom>
      <diagonal/>
    </border>
    <border>
      <left/>
      <right/>
      <top style="thin">
        <color theme="0" tint="-0.14996795556505021"/>
      </top>
      <bottom style="thin">
        <color theme="0" tint="-0.14996795556505021"/>
      </bottom>
      <diagonal/>
    </border>
    <border>
      <left/>
      <right style="thin">
        <color theme="0" tint="-0.24994659260841701"/>
      </right>
      <top style="thin">
        <color theme="0" tint="-0.24994659260841701"/>
      </top>
      <bottom style="medium">
        <color auto="1"/>
      </bottom>
      <diagonal/>
    </border>
  </borders>
  <cellStyleXfs count="8">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5" fillId="0" borderId="2" applyNumberFormat="0" applyFill="0" applyAlignment="0" applyProtection="0"/>
    <xf numFmtId="0" fontId="9" fillId="0" borderId="0" applyBorder="0"/>
    <xf numFmtId="0" fontId="1" fillId="0" borderId="0"/>
    <xf numFmtId="0" fontId="15" fillId="0" borderId="0" applyNumberFormat="0" applyFill="0" applyBorder="0" applyAlignment="0" applyProtection="0"/>
  </cellStyleXfs>
  <cellXfs count="130">
    <xf numFmtId="0" fontId="0" fillId="0" borderId="0" xfId="0"/>
    <xf numFmtId="0" fontId="6" fillId="0" borderId="0" xfId="0" applyFont="1"/>
    <xf numFmtId="0" fontId="7" fillId="0" borderId="0" xfId="0" applyFont="1"/>
    <xf numFmtId="0" fontId="5" fillId="0" borderId="0" xfId="0" applyFont="1"/>
    <xf numFmtId="0" fontId="0" fillId="0" borderId="0" xfId="0" applyAlignment="1">
      <alignment horizontal="right"/>
    </xf>
    <xf numFmtId="165" fontId="0" fillId="0" borderId="0" xfId="1" applyNumberFormat="1" applyFont="1"/>
    <xf numFmtId="0" fontId="5" fillId="0" borderId="4" xfId="4" applyBorder="1"/>
    <xf numFmtId="0" fontId="3" fillId="0" borderId="0" xfId="3" applyBorder="1"/>
    <xf numFmtId="0" fontId="4" fillId="0" borderId="3" xfId="0" applyFont="1" applyBorder="1"/>
    <xf numFmtId="0" fontId="4" fillId="0" borderId="3" xfId="0" applyFont="1" applyBorder="1" applyAlignment="1">
      <alignment horizontal="right" wrapText="1"/>
    </xf>
    <xf numFmtId="0" fontId="4" fillId="0" borderId="3" xfId="0" applyFont="1" applyBorder="1" applyAlignment="1">
      <alignment horizontal="right"/>
    </xf>
    <xf numFmtId="0" fontId="0" fillId="0" borderId="0" xfId="0" applyAlignment="1">
      <alignment horizontal="left" indent="2"/>
    </xf>
    <xf numFmtId="0" fontId="0" fillId="0" borderId="5" xfId="0" applyBorder="1" applyAlignment="1">
      <alignment horizontal="right"/>
    </xf>
    <xf numFmtId="0" fontId="0" fillId="0" borderId="5" xfId="0" applyBorder="1" applyAlignment="1">
      <alignment horizontal="left" indent="2"/>
    </xf>
    <xf numFmtId="0" fontId="4" fillId="0" borderId="7" xfId="0" applyFont="1" applyBorder="1" applyAlignment="1">
      <alignment horizontal="right"/>
    </xf>
    <xf numFmtId="0" fontId="0" fillId="0" borderId="6" xfId="0" applyBorder="1" applyAlignment="1">
      <alignment horizontal="right"/>
    </xf>
    <xf numFmtId="165" fontId="0" fillId="0" borderId="8" xfId="0" applyNumberFormat="1" applyBorder="1" applyAlignment="1">
      <alignment horizontal="right"/>
    </xf>
    <xf numFmtId="165" fontId="5" fillId="0" borderId="9" xfId="4" applyNumberFormat="1" applyBorder="1"/>
    <xf numFmtId="165" fontId="7" fillId="0" borderId="0" xfId="0" applyNumberFormat="1" applyFont="1"/>
    <xf numFmtId="0" fontId="7" fillId="0" borderId="0" xfId="0" applyFont="1" applyAlignment="1">
      <alignment horizontal="right"/>
    </xf>
    <xf numFmtId="165" fontId="5" fillId="0" borderId="0" xfId="1" applyNumberFormat="1" applyFont="1"/>
    <xf numFmtId="168" fontId="8" fillId="0" borderId="0" xfId="1" applyNumberFormat="1" applyFont="1"/>
    <xf numFmtId="167" fontId="0" fillId="0" borderId="0" xfId="0" applyNumberFormat="1"/>
    <xf numFmtId="0" fontId="0" fillId="0" borderId="0" xfId="0" quotePrefix="1"/>
    <xf numFmtId="168" fontId="8" fillId="0" borderId="0" xfId="1" applyNumberFormat="1" applyFont="1" applyBorder="1"/>
    <xf numFmtId="165" fontId="0" fillId="0" borderId="0" xfId="0" applyNumberFormat="1"/>
    <xf numFmtId="165" fontId="5" fillId="0" borderId="0" xfId="1" applyNumberFormat="1" applyFont="1" applyFill="1" applyBorder="1"/>
    <xf numFmtId="0" fontId="0" fillId="4" borderId="0" xfId="0" quotePrefix="1" applyFill="1"/>
    <xf numFmtId="0" fontId="0" fillId="4" borderId="0" xfId="0" applyFill="1"/>
    <xf numFmtId="168" fontId="0" fillId="0" borderId="0" xfId="1" applyNumberFormat="1" applyFont="1" applyBorder="1"/>
    <xf numFmtId="169" fontId="0" fillId="0" borderId="0" xfId="0" applyNumberFormat="1"/>
    <xf numFmtId="165" fontId="0" fillId="4" borderId="0" xfId="1" applyNumberFormat="1" applyFont="1" applyFill="1" applyBorder="1"/>
    <xf numFmtId="0" fontId="7" fillId="5" borderId="0" xfId="0" applyFont="1" applyFill="1"/>
    <xf numFmtId="165" fontId="7" fillId="5" borderId="0" xfId="0" applyNumberFormat="1" applyFont="1" applyFill="1"/>
    <xf numFmtId="165" fontId="8" fillId="5" borderId="0" xfId="0" applyNumberFormat="1" applyFont="1" applyFill="1"/>
    <xf numFmtId="167" fontId="0" fillId="4" borderId="0" xfId="0" applyNumberFormat="1" applyFill="1"/>
    <xf numFmtId="0" fontId="11" fillId="0" borderId="3" xfId="0" applyFont="1" applyBorder="1"/>
    <xf numFmtId="17" fontId="4" fillId="0" borderId="3" xfId="0" applyNumberFormat="1" applyFont="1" applyBorder="1" applyAlignment="1">
      <alignment horizontal="right"/>
    </xf>
    <xf numFmtId="17" fontId="4" fillId="0" borderId="3" xfId="0" applyNumberFormat="1" applyFont="1" applyBorder="1" applyAlignment="1">
      <alignment horizontal="right" wrapText="1"/>
    </xf>
    <xf numFmtId="165" fontId="0" fillId="0" borderId="5" xfId="1" applyNumberFormat="1" applyFont="1" applyFill="1" applyBorder="1" applyAlignment="1">
      <alignment horizontal="right"/>
    </xf>
    <xf numFmtId="167" fontId="0" fillId="0" borderId="5" xfId="0" applyNumberFormat="1" applyBorder="1" applyAlignment="1">
      <alignment horizontal="right"/>
    </xf>
    <xf numFmtId="165" fontId="5" fillId="0" borderId="8" xfId="0" applyNumberFormat="1" applyFont="1" applyBorder="1" applyAlignment="1">
      <alignment horizontal="right"/>
    </xf>
    <xf numFmtId="165" fontId="0" fillId="0" borderId="0" xfId="1" applyNumberFormat="1" applyFont="1" applyFill="1" applyBorder="1" applyAlignment="1">
      <alignment horizontal="right"/>
    </xf>
    <xf numFmtId="167" fontId="0" fillId="0" borderId="0" xfId="0" applyNumberFormat="1" applyAlignment="1">
      <alignment horizontal="right"/>
    </xf>
    <xf numFmtId="165" fontId="5" fillId="0" borderId="0" xfId="0" applyNumberFormat="1" applyFont="1" applyAlignment="1">
      <alignment horizontal="right"/>
    </xf>
    <xf numFmtId="165" fontId="5" fillId="4" borderId="0" xfId="1" applyNumberFormat="1" applyFont="1" applyFill="1" applyBorder="1"/>
    <xf numFmtId="0" fontId="5" fillId="7" borderId="0" xfId="0" applyFont="1" applyFill="1"/>
    <xf numFmtId="0" fontId="8" fillId="0" borderId="0" xfId="0" applyFont="1"/>
    <xf numFmtId="165" fontId="8" fillId="0" borderId="0" xfId="0" applyNumberFormat="1" applyFont="1"/>
    <xf numFmtId="0" fontId="8" fillId="6" borderId="0" xfId="0" applyFont="1" applyFill="1"/>
    <xf numFmtId="165" fontId="8" fillId="6" borderId="0" xfId="1" applyNumberFormat="1" applyFont="1" applyFill="1" applyBorder="1"/>
    <xf numFmtId="165" fontId="5" fillId="7" borderId="0" xfId="1" applyNumberFormat="1" applyFont="1" applyFill="1" applyBorder="1"/>
    <xf numFmtId="165" fontId="5" fillId="7" borderId="0" xfId="0" applyNumberFormat="1" applyFont="1" applyFill="1"/>
    <xf numFmtId="165" fontId="5" fillId="2" borderId="0" xfId="1" applyNumberFormat="1" applyFont="1" applyFill="1"/>
    <xf numFmtId="165" fontId="5" fillId="2" borderId="0" xfId="1" applyNumberFormat="1" applyFont="1" applyFill="1" applyBorder="1"/>
    <xf numFmtId="164" fontId="0" fillId="0" borderId="0" xfId="1" applyFont="1" applyBorder="1"/>
    <xf numFmtId="164" fontId="0" fillId="0" borderId="0" xfId="0" applyNumberFormat="1"/>
    <xf numFmtId="170" fontId="0" fillId="0" borderId="0" xfId="0" applyNumberFormat="1"/>
    <xf numFmtId="0" fontId="5" fillId="0" borderId="0" xfId="0" quotePrefix="1" applyFont="1"/>
    <xf numFmtId="0" fontId="5" fillId="7" borderId="15" xfId="0" applyFont="1" applyFill="1" applyBorder="1" applyAlignment="1">
      <alignment wrapText="1"/>
    </xf>
    <xf numFmtId="165" fontId="5" fillId="7" borderId="16" xfId="1" applyNumberFormat="1" applyFont="1" applyFill="1" applyBorder="1" applyAlignment="1">
      <alignment horizontal="left" indent="3"/>
    </xf>
    <xf numFmtId="170" fontId="5" fillId="0" borderId="17" xfId="0" applyNumberFormat="1" applyFont="1" applyBorder="1"/>
    <xf numFmtId="170" fontId="0" fillId="0" borderId="17" xfId="0" applyNumberFormat="1" applyBorder="1"/>
    <xf numFmtId="1" fontId="0" fillId="0" borderId="14" xfId="0" applyNumberFormat="1" applyBorder="1"/>
    <xf numFmtId="1" fontId="1" fillId="0" borderId="0" xfId="1" applyNumberFormat="1" applyFont="1" applyBorder="1"/>
    <xf numFmtId="0" fontId="4" fillId="0" borderId="7" xfId="0" applyFont="1" applyBorder="1" applyAlignment="1">
      <alignment horizontal="left"/>
    </xf>
    <xf numFmtId="0" fontId="0" fillId="0" borderId="6" xfId="0" applyBorder="1" applyAlignment="1">
      <alignment horizontal="left"/>
    </xf>
    <xf numFmtId="165" fontId="0" fillId="0" borderId="8" xfId="0" applyNumberFormat="1" applyBorder="1" applyAlignment="1">
      <alignment horizontal="left"/>
    </xf>
    <xf numFmtId="165" fontId="5" fillId="0" borderId="9" xfId="4" applyNumberFormat="1" applyBorder="1" applyAlignment="1">
      <alignment horizontal="left"/>
    </xf>
    <xf numFmtId="165" fontId="0" fillId="0" borderId="0" xfId="1" applyNumberFormat="1" applyFont="1" applyAlignment="1">
      <alignment horizontal="left"/>
    </xf>
    <xf numFmtId="165" fontId="5" fillId="0" borderId="8" xfId="0" applyNumberFormat="1" applyFont="1" applyBorder="1" applyAlignment="1">
      <alignment horizontal="left"/>
    </xf>
    <xf numFmtId="165" fontId="5" fillId="0" borderId="0" xfId="0" applyNumberFormat="1" applyFont="1" applyAlignment="1">
      <alignment horizontal="left"/>
    </xf>
    <xf numFmtId="168" fontId="8" fillId="0" borderId="0" xfId="1" applyNumberFormat="1" applyFont="1" applyFill="1"/>
    <xf numFmtId="0" fontId="7" fillId="0" borderId="0" xfId="0" applyFont="1" applyAlignment="1">
      <alignment vertical="center"/>
    </xf>
    <xf numFmtId="165" fontId="0" fillId="2" borderId="0" xfId="1" applyNumberFormat="1" applyFont="1" applyFill="1" applyAlignment="1">
      <alignment horizontal="center"/>
    </xf>
    <xf numFmtId="165" fontId="0" fillId="0" borderId="0" xfId="0" applyNumberFormat="1" applyAlignment="1">
      <alignment horizontal="center"/>
    </xf>
    <xf numFmtId="165" fontId="0" fillId="2" borderId="0" xfId="0" applyNumberFormat="1" applyFill="1" applyAlignment="1">
      <alignment horizontal="center"/>
    </xf>
    <xf numFmtId="0" fontId="0" fillId="0" borderId="11" xfId="0" applyBorder="1" applyAlignment="1">
      <alignment horizontal="center"/>
    </xf>
    <xf numFmtId="0" fontId="0" fillId="0" borderId="12" xfId="0" applyBorder="1" applyAlignment="1">
      <alignment horizontal="center"/>
    </xf>
    <xf numFmtId="168" fontId="0" fillId="0" borderId="5" xfId="1" applyNumberFormat="1" applyFont="1" applyFill="1" applyBorder="1" applyAlignment="1">
      <alignment horizontal="right"/>
    </xf>
    <xf numFmtId="167" fontId="0" fillId="0" borderId="5" xfId="0" applyNumberFormat="1" applyBorder="1"/>
    <xf numFmtId="0" fontId="0" fillId="0" borderId="0" xfId="0" applyAlignment="1">
      <alignment vertical="center"/>
    </xf>
    <xf numFmtId="0" fontId="0" fillId="0" borderId="0" xfId="0" applyAlignment="1">
      <alignment vertical="center" wrapText="1"/>
    </xf>
    <xf numFmtId="168" fontId="0" fillId="4" borderId="0" xfId="1" applyNumberFormat="1" applyFont="1" applyFill="1"/>
    <xf numFmtId="0" fontId="0" fillId="0" borderId="26" xfId="0" applyBorder="1" applyAlignment="1">
      <alignment vertical="center" wrapText="1"/>
    </xf>
    <xf numFmtId="168" fontId="0" fillId="0" borderId="26" xfId="1" applyNumberFormat="1" applyFont="1" applyBorder="1"/>
    <xf numFmtId="0" fontId="5" fillId="0" borderId="26" xfId="0" applyFont="1" applyBorder="1" applyAlignment="1">
      <alignment vertical="center" wrapText="1"/>
    </xf>
    <xf numFmtId="168" fontId="5" fillId="0" borderId="26" xfId="1" applyNumberFormat="1" applyFont="1" applyBorder="1"/>
    <xf numFmtId="0" fontId="0" fillId="8" borderId="0" xfId="0" applyFill="1"/>
    <xf numFmtId="168" fontId="0" fillId="8" borderId="5" xfId="1" applyNumberFormat="1" applyFont="1" applyFill="1" applyBorder="1" applyAlignment="1">
      <alignment horizontal="right"/>
    </xf>
    <xf numFmtId="166" fontId="0" fillId="8" borderId="5" xfId="1" applyNumberFormat="1" applyFont="1" applyFill="1" applyBorder="1" applyAlignment="1">
      <alignment horizontal="right"/>
    </xf>
    <xf numFmtId="165" fontId="0" fillId="8" borderId="5" xfId="1" applyNumberFormat="1" applyFont="1" applyFill="1" applyBorder="1" applyAlignment="1">
      <alignment horizontal="right"/>
    </xf>
    <xf numFmtId="167" fontId="0" fillId="8" borderId="5" xfId="0" applyNumberFormat="1" applyFill="1" applyBorder="1"/>
    <xf numFmtId="0" fontId="0" fillId="8" borderId="11" xfId="0" applyFill="1" applyBorder="1"/>
    <xf numFmtId="0" fontId="0" fillId="8" borderId="20" xfId="0" applyFill="1" applyBorder="1" applyAlignment="1">
      <alignment horizontal="center"/>
    </xf>
    <xf numFmtId="0" fontId="0" fillId="8" borderId="11" xfId="0" applyFill="1" applyBorder="1" applyAlignment="1">
      <alignment horizontal="center"/>
    </xf>
    <xf numFmtId="0" fontId="0" fillId="8" borderId="21" xfId="0" applyFill="1" applyBorder="1" applyAlignment="1">
      <alignment horizontal="center"/>
    </xf>
    <xf numFmtId="0" fontId="0" fillId="8" borderId="12" xfId="0" applyFill="1" applyBorder="1" applyAlignment="1">
      <alignment horizontal="center"/>
    </xf>
    <xf numFmtId="0" fontId="0" fillId="8" borderId="22" xfId="0" applyFill="1" applyBorder="1" applyAlignment="1">
      <alignment horizontal="center"/>
    </xf>
    <xf numFmtId="0" fontId="0" fillId="8" borderId="12" xfId="0" applyFill="1" applyBorder="1"/>
    <xf numFmtId="0" fontId="0" fillId="8" borderId="23" xfId="0" applyFill="1" applyBorder="1" applyAlignment="1">
      <alignment horizontal="center"/>
    </xf>
    <xf numFmtId="0" fontId="0" fillId="8" borderId="24" xfId="0" applyFill="1" applyBorder="1" applyAlignment="1">
      <alignment horizontal="center"/>
    </xf>
    <xf numFmtId="0" fontId="0" fillId="8" borderId="13" xfId="0" applyFill="1" applyBorder="1" applyAlignment="1">
      <alignment horizontal="center"/>
    </xf>
    <xf numFmtId="0" fontId="0" fillId="8" borderId="25" xfId="0" applyFill="1" applyBorder="1" applyAlignment="1">
      <alignment horizontal="center"/>
    </xf>
    <xf numFmtId="168" fontId="0" fillId="8" borderId="0" xfId="1" applyNumberFormat="1" applyFont="1" applyFill="1"/>
    <xf numFmtId="0" fontId="0" fillId="8" borderId="27" xfId="0" applyFill="1" applyBorder="1"/>
    <xf numFmtId="0" fontId="0" fillId="0" borderId="5" xfId="0" applyBorder="1" applyAlignment="1">
      <alignment horizontal="left" wrapText="1" indent="2"/>
    </xf>
    <xf numFmtId="0" fontId="12" fillId="3" borderId="0" xfId="0" applyFont="1" applyFill="1"/>
    <xf numFmtId="17" fontId="13" fillId="3" borderId="18" xfId="0" applyNumberFormat="1" applyFont="1" applyFill="1" applyBorder="1" applyAlignment="1">
      <alignment horizontal="center"/>
    </xf>
    <xf numFmtId="17" fontId="13" fillId="3" borderId="0" xfId="0" applyNumberFormat="1" applyFont="1" applyFill="1" applyAlignment="1">
      <alignment horizontal="center"/>
    </xf>
    <xf numFmtId="17" fontId="13" fillId="3" borderId="19" xfId="0" applyNumberFormat="1" applyFont="1" applyFill="1" applyBorder="1" applyAlignment="1">
      <alignment horizontal="center"/>
    </xf>
    <xf numFmtId="17" fontId="13" fillId="3" borderId="0" xfId="0" applyNumberFormat="1" applyFont="1" applyFill="1" applyAlignment="1">
      <alignment horizontal="right" wrapText="1" indent="1"/>
    </xf>
    <xf numFmtId="17" fontId="13" fillId="3" borderId="0" xfId="0" applyNumberFormat="1" applyFont="1" applyFill="1" applyAlignment="1">
      <alignment wrapText="1"/>
    </xf>
    <xf numFmtId="17" fontId="13" fillId="3" borderId="0" xfId="0" applyNumberFormat="1" applyFont="1" applyFill="1"/>
    <xf numFmtId="0" fontId="12" fillId="3" borderId="0" xfId="0" applyFont="1" applyFill="1" applyAlignment="1">
      <alignment wrapText="1"/>
    </xf>
    <xf numFmtId="0" fontId="12" fillId="9" borderId="10" xfId="0" applyFont="1" applyFill="1" applyBorder="1"/>
    <xf numFmtId="17" fontId="12" fillId="9" borderId="10" xfId="0" applyNumberFormat="1" applyFont="1" applyFill="1" applyBorder="1" applyAlignment="1">
      <alignment horizontal="center"/>
    </xf>
    <xf numFmtId="17" fontId="12" fillId="9" borderId="10" xfId="0" applyNumberFormat="1" applyFont="1" applyFill="1" applyBorder="1" applyAlignment="1">
      <alignment horizontal="right" wrapText="1" indent="2"/>
    </xf>
    <xf numFmtId="0" fontId="14" fillId="0" borderId="0" xfId="2" applyFont="1"/>
    <xf numFmtId="0" fontId="15" fillId="0" borderId="0" xfId="7"/>
    <xf numFmtId="0" fontId="8" fillId="0" borderId="0" xfId="0" applyFont="1" applyAlignment="1">
      <alignment horizontal="left" indent="2"/>
    </xf>
    <xf numFmtId="0" fontId="8" fillId="0" borderId="5" xfId="0" applyFont="1" applyBorder="1" applyAlignment="1">
      <alignment horizontal="left" indent="2"/>
    </xf>
    <xf numFmtId="165" fontId="8" fillId="8" borderId="5" xfId="1" applyNumberFormat="1" applyFont="1" applyFill="1" applyBorder="1" applyAlignment="1">
      <alignment horizontal="right"/>
    </xf>
    <xf numFmtId="0" fontId="8" fillId="0" borderId="5" xfId="0" applyFont="1" applyBorder="1" applyAlignment="1">
      <alignment horizontal="right"/>
    </xf>
    <xf numFmtId="167" fontId="8" fillId="0" borderId="5" xfId="0" applyNumberFormat="1" applyFont="1" applyBorder="1" applyAlignment="1">
      <alignment horizontal="right"/>
    </xf>
    <xf numFmtId="0" fontId="16" fillId="0" borderId="0" xfId="0" applyFont="1"/>
    <xf numFmtId="0" fontId="17" fillId="0" borderId="0" xfId="0" applyFont="1"/>
    <xf numFmtId="0" fontId="7" fillId="7" borderId="18" xfId="0" applyFont="1" applyFill="1" applyBorder="1" applyAlignment="1">
      <alignment horizontal="center"/>
    </xf>
    <xf numFmtId="0" fontId="7" fillId="7" borderId="0" xfId="0" applyFont="1" applyFill="1" applyAlignment="1">
      <alignment horizontal="center"/>
    </xf>
    <xf numFmtId="0" fontId="7" fillId="7" borderId="19" xfId="0" applyFont="1" applyFill="1" applyBorder="1" applyAlignment="1">
      <alignment horizontal="center"/>
    </xf>
  </cellXfs>
  <cellStyles count="8">
    <cellStyle name="Comma" xfId="1" builtinId="3"/>
    <cellStyle name="Heading 1" xfId="3" builtinId="16"/>
    <cellStyle name="Hyperlink" xfId="7" builtinId="8"/>
    <cellStyle name="Normal" xfId="0" builtinId="0"/>
    <cellStyle name="Normal 2" xfId="5" xr:uid="{B354C853-EB76-4E48-809B-31A5F5128BB4}"/>
    <cellStyle name="Normal 3" xfId="6" xr:uid="{A043BA2D-D094-4E4A-819A-2A3C1ABCFAF0}"/>
    <cellStyle name="Title" xfId="2" builtinId="15"/>
    <cellStyle name="Total" xfId="4" builtinId="25"/>
  </cellStyles>
  <dxfs count="83">
    <dxf>
      <font>
        <b/>
        <i val="0"/>
        <strike val="0"/>
        <condense val="0"/>
        <extend val="0"/>
        <outline val="0"/>
        <shadow val="0"/>
        <u val="none"/>
        <vertAlign val="baseline"/>
        <sz val="11"/>
        <color theme="1"/>
        <name val="Calibri"/>
        <family val="2"/>
        <scheme val="minor"/>
      </font>
      <numFmt numFmtId="165" formatCode="_-* #,##0_-;\-* #,##0_-;_-* &quot;-&quot;??_-;_-@_-"/>
      <fill>
        <patternFill patternType="solid">
          <fgColor theme="0" tint="-0.14999847407452621"/>
          <bgColor theme="0" tint="-0.14999847407452621"/>
        </patternFill>
      </fill>
    </dxf>
    <dxf>
      <font>
        <b val="0"/>
        <i val="0"/>
        <strike val="0"/>
        <condense val="0"/>
        <extend val="0"/>
        <outline val="0"/>
        <shadow val="0"/>
        <u val="none"/>
        <vertAlign val="baseline"/>
        <sz val="11"/>
        <color theme="1"/>
        <name val="Calibri"/>
        <family val="2"/>
        <scheme val="minor"/>
      </font>
      <numFmt numFmtId="165" formatCode="_-* #,##0_-;\-* #,##0_-;_-* &quot;-&quot;??_-;_-@_-"/>
      <fill>
        <patternFill patternType="solid">
          <fgColor theme="0" tint="-0.14999847407452621"/>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_-* #,##0_-;\-* #,##0_-;_-* &quot;-&quot;??_-;_-@_-"/>
      <fill>
        <patternFill patternType="solid">
          <fgColor theme="0" tint="-0.14999847407452621"/>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_-* #,##0_-;\-* #,##0_-;_-* &quot;-&quot;??_-;_-@_-"/>
      <fill>
        <patternFill patternType="solid">
          <fgColor theme="0" tint="-0.14999847407452621"/>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_-* #,##0_-;\-* #,##0_-;_-* &quot;-&quot;??_-;_-@_-"/>
      <fill>
        <patternFill patternType="solid">
          <fgColor theme="0" tint="-0.14999847407452621"/>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_-* #,##0_-;\-* #,##0_-;_-* &quot;-&quot;??_-;_-@_-"/>
      <fill>
        <patternFill patternType="solid">
          <fgColor theme="0" tint="-0.14999847407452621"/>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_-* #,##0_-;\-* #,##0_-;_-* &quot;-&quot;??_-;_-@_-"/>
      <fill>
        <patternFill patternType="solid">
          <fgColor theme="0" tint="-0.14999847407452621"/>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_-* #,##0_-;\-* #,##0_-;_-* &quot;-&quot;??_-;_-@_-"/>
      <fill>
        <patternFill patternType="solid">
          <fgColor theme="0" tint="-0.14999847407452621"/>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_-* #,##0_-;\-* #,##0_-;_-* &quot;-&quot;??_-;_-@_-"/>
      <fill>
        <patternFill patternType="solid">
          <fgColor theme="0" tint="-0.14999847407452621"/>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_-* #,##0_-;\-* #,##0_-;_-* &quot;-&quot;??_-;_-@_-"/>
      <fill>
        <patternFill patternType="solid">
          <fgColor theme="0" tint="-0.14999847407452621"/>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_-* #,##0_-;\-* #,##0_-;_-* &quot;-&quot;??_-;_-@_-"/>
      <fill>
        <patternFill patternType="solid">
          <fgColor theme="0" tint="-0.14999847407452621"/>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_-* #,##0_-;\-* #,##0_-;_-* &quot;-&quot;??_-;_-@_-"/>
      <fill>
        <patternFill patternType="solid">
          <fgColor theme="0" tint="-0.14999847407452621"/>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_-* #,##0_-;\-* #,##0_-;_-* &quot;-&quot;??_-;_-@_-"/>
      <fill>
        <patternFill patternType="solid">
          <fgColor theme="0" tint="-0.14999847407452621"/>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7" tint="0.79998168889431442"/>
        </patternFill>
      </fill>
      <border diagonalUp="0" diagonalDown="0">
        <left/>
        <right/>
        <top style="thin">
          <color theme="0" tint="-0.24994659260841701"/>
        </top>
        <bottom style="thin">
          <color theme="0" tint="-0.24994659260841701"/>
        </bottom>
        <vertical/>
        <horizontal/>
      </border>
    </dxf>
    <dxf>
      <border outline="0">
        <top style="medium">
          <color theme="1"/>
        </top>
        <bottom style="medium">
          <color theme="1"/>
        </bottom>
      </border>
    </dxf>
    <dxf>
      <font>
        <b val="0"/>
        <i val="0"/>
        <strike val="0"/>
        <condense val="0"/>
        <extend val="0"/>
        <outline val="0"/>
        <shadow val="0"/>
        <u val="none"/>
        <vertAlign val="baseline"/>
        <sz val="11"/>
        <color theme="1"/>
        <name val="Calibri"/>
        <family val="2"/>
        <scheme val="minor"/>
      </font>
      <fill>
        <patternFill patternType="solid">
          <fgColor theme="0" tint="-0.14999847407452621"/>
          <bgColor theme="0" tint="-0.14999847407452621"/>
        </patternFill>
      </fill>
    </dxf>
    <dxf>
      <border outline="0">
        <bottom style="medium">
          <color theme="1"/>
        </bottom>
      </border>
    </dxf>
    <dxf>
      <font>
        <b/>
        <i val="0"/>
        <strike val="0"/>
        <condense val="0"/>
        <extend val="0"/>
        <outline val="0"/>
        <shadow val="0"/>
        <u val="none"/>
        <vertAlign val="baseline"/>
        <sz val="11"/>
        <color auto="1"/>
        <name val="Calibri"/>
        <family val="2"/>
        <scheme val="minor"/>
      </font>
      <numFmt numFmtId="22" formatCode="mmm/yy"/>
      <fill>
        <patternFill patternType="solid">
          <fgColor theme="4"/>
          <bgColor rgb="FFD8E6F6"/>
        </patternFill>
      </fill>
    </dxf>
    <dxf>
      <font>
        <b/>
        <i/>
        <strike val="0"/>
        <condense val="0"/>
        <extend val="0"/>
        <outline val="0"/>
        <shadow val="0"/>
        <u val="none"/>
        <vertAlign val="baseline"/>
        <sz val="11"/>
        <color theme="1"/>
        <name val="Calibri"/>
        <family val="2"/>
        <scheme val="minor"/>
      </font>
      <numFmt numFmtId="168" formatCode="_-* #,##0.0_-;\-* #,##0.0_-;_-* &quot;-&quot;??_-;_-@_-"/>
      <fill>
        <patternFill patternType="none">
          <fgColor indexed="64"/>
          <bgColor auto="1"/>
        </patternFill>
      </fill>
    </dxf>
    <dxf>
      <font>
        <b/>
        <i/>
      </font>
      <numFmt numFmtId="168" formatCode="_-* #,##0.0_-;\-* #,##0.0_-;_-* &quot;-&quot;??_-;_-@_-"/>
    </dxf>
    <dxf>
      <font>
        <b/>
        <i val="0"/>
        <strike val="0"/>
        <condense val="0"/>
        <extend val="0"/>
        <outline val="0"/>
        <shadow val="0"/>
        <u val="none"/>
        <vertAlign val="baseline"/>
        <sz val="11"/>
        <color theme="1"/>
        <name val="Calibri"/>
        <family val="2"/>
        <scheme val="minor"/>
      </font>
      <numFmt numFmtId="0" formatCode="General"/>
      <fill>
        <patternFill patternType="none">
          <fgColor indexed="64"/>
          <bgColor auto="1"/>
        </patternFill>
      </fill>
    </dxf>
    <dxf>
      <font>
        <b/>
      </font>
      <numFmt numFmtId="0" formatCode="General"/>
    </dxf>
    <dxf>
      <fill>
        <patternFill patternType="none">
          <fgColor indexed="64"/>
          <bgColor auto="1"/>
        </patternFill>
      </fill>
      <border diagonalUp="0" diagonalDown="0" outline="0">
        <left/>
        <right/>
        <top style="thin">
          <color theme="0" tint="-0.24994659260841701"/>
        </top>
        <bottom/>
      </border>
    </dxf>
    <dxf>
      <numFmt numFmtId="0" formatCode="General"/>
      <fill>
        <patternFill patternType="none">
          <fgColor indexed="64"/>
          <bgColor auto="1"/>
        </patternFill>
      </fill>
      <alignment horizontal="center" vertical="bottom" textRotation="0" wrapText="0" indent="0" justifyLastLine="0" shrinkToFit="0" readingOrder="0"/>
      <border diagonalUp="0" diagonalDown="0" outline="0">
        <left/>
        <right/>
        <top style="thin">
          <color theme="0" tint="-0.24994659260841701"/>
        </top>
        <bottom style="thin">
          <color theme="0" tint="-0.24994659260841701"/>
        </bottom>
      </border>
    </dxf>
    <dxf>
      <fill>
        <patternFill patternType="none">
          <fgColor indexed="64"/>
          <bgColor auto="1"/>
        </patternFill>
      </fill>
      <border diagonalUp="0" diagonalDown="0" outline="0">
        <left/>
        <right/>
        <top style="thin">
          <color theme="0" tint="-0.24994659260841701"/>
        </top>
        <bottom/>
      </border>
    </dxf>
    <dxf>
      <numFmt numFmtId="0" formatCode="General"/>
      <fill>
        <patternFill patternType="none">
          <fgColor indexed="64"/>
          <bgColor auto="1"/>
        </patternFill>
      </fill>
      <alignment horizontal="center" vertical="bottom" textRotation="0" wrapText="0" indent="0" justifyLastLine="0" shrinkToFit="0" readingOrder="0"/>
      <border diagonalUp="0" diagonalDown="0" outline="0">
        <left/>
        <right/>
        <top style="thin">
          <color theme="0" tint="-0.24994659260841701"/>
        </top>
        <bottom style="thin">
          <color theme="0" tint="-0.24994659260841701"/>
        </bottom>
      </border>
    </dxf>
    <dxf>
      <fill>
        <patternFill patternType="none">
          <fgColor indexed="64"/>
          <bgColor auto="1"/>
        </patternFill>
      </fill>
      <border diagonalUp="0" diagonalDown="0" outline="0">
        <left/>
        <right/>
        <top style="thin">
          <color theme="0" tint="-0.24994659260841701"/>
        </top>
        <bottom/>
      </border>
    </dxf>
    <dxf>
      <numFmt numFmtId="0" formatCode="General"/>
      <fill>
        <patternFill patternType="none">
          <fgColor indexed="64"/>
          <bgColor auto="1"/>
        </patternFill>
      </fill>
      <alignment horizontal="center" vertical="bottom" textRotation="0" wrapText="0" indent="0" justifyLastLine="0" shrinkToFit="0" readingOrder="0"/>
      <border diagonalUp="0" diagonalDown="0" outline="0">
        <left/>
        <right/>
        <top style="thin">
          <color theme="0" tint="-0.24994659260841701"/>
        </top>
        <bottom style="thin">
          <color theme="0" tint="-0.24994659260841701"/>
        </bottom>
      </border>
    </dxf>
    <dxf>
      <fill>
        <patternFill patternType="none">
          <fgColor indexed="64"/>
          <bgColor auto="1"/>
        </patternFill>
      </fill>
      <border diagonalUp="0" diagonalDown="0" outline="0">
        <left/>
        <right/>
        <top style="thin">
          <color theme="0" tint="-0.24994659260841701"/>
        </top>
        <bottom/>
      </border>
    </dxf>
    <dxf>
      <numFmt numFmtId="0" formatCode="General"/>
      <fill>
        <patternFill patternType="none">
          <fgColor indexed="64"/>
          <bgColor auto="1"/>
        </patternFill>
      </fill>
      <alignment horizontal="center" vertical="bottom" textRotation="0" wrapText="0" indent="0" justifyLastLine="0" shrinkToFit="0" readingOrder="0"/>
      <border diagonalUp="0" diagonalDown="0" outline="0">
        <left/>
        <right/>
        <top style="thin">
          <color theme="0" tint="-0.24994659260841701"/>
        </top>
        <bottom style="thin">
          <color theme="0" tint="-0.24994659260841701"/>
        </bottom>
      </border>
    </dxf>
    <dxf>
      <fill>
        <patternFill patternType="none">
          <fgColor indexed="64"/>
          <bgColor auto="1"/>
        </patternFill>
      </fill>
      <border diagonalUp="0" diagonalDown="0" outline="0">
        <left/>
        <right/>
        <top style="thin">
          <color theme="0" tint="-0.24994659260841701"/>
        </top>
        <bottom/>
      </border>
    </dxf>
    <dxf>
      <numFmt numFmtId="0" formatCode="General"/>
      <fill>
        <patternFill patternType="none">
          <fgColor indexed="64"/>
          <bgColor auto="1"/>
        </patternFill>
      </fill>
      <alignment horizontal="center" vertical="bottom" textRotation="0" wrapText="0" indent="0" justifyLastLine="0" shrinkToFit="0" readingOrder="0"/>
      <border diagonalUp="0" diagonalDown="0" outline="0">
        <left/>
        <right/>
        <top style="thin">
          <color theme="0" tint="-0.24994659260841701"/>
        </top>
        <bottom style="thin">
          <color theme="0" tint="-0.24994659260841701"/>
        </bottom>
      </border>
    </dxf>
    <dxf>
      <fill>
        <patternFill patternType="none">
          <fgColor indexed="64"/>
          <bgColor auto="1"/>
        </patternFill>
      </fill>
      <border diagonalUp="0" diagonalDown="0" outline="0">
        <left/>
        <right/>
        <top style="thin">
          <color theme="0" tint="-0.24994659260841701"/>
        </top>
        <bottom/>
      </border>
    </dxf>
    <dxf>
      <numFmt numFmtId="0" formatCode="General"/>
      <fill>
        <patternFill patternType="none">
          <fgColor indexed="64"/>
          <bgColor auto="1"/>
        </patternFill>
      </fill>
      <alignment horizontal="center" vertical="bottom" textRotation="0" wrapText="0" indent="0" justifyLastLine="0" shrinkToFit="0" readingOrder="0"/>
      <border diagonalUp="0" diagonalDown="0" outline="0">
        <left/>
        <right/>
        <top style="thin">
          <color theme="0" tint="-0.24994659260841701"/>
        </top>
        <bottom style="thin">
          <color theme="0" tint="-0.24994659260841701"/>
        </bottom>
      </border>
    </dxf>
    <dxf>
      <fill>
        <patternFill patternType="none">
          <fgColor indexed="64"/>
          <bgColor auto="1"/>
        </patternFill>
      </fill>
      <border diagonalUp="0" diagonalDown="0" outline="0">
        <left/>
        <right/>
        <top style="thin">
          <color theme="0" tint="-0.24994659260841701"/>
        </top>
        <bottom/>
      </border>
    </dxf>
    <dxf>
      <numFmt numFmtId="0" formatCode="General"/>
      <fill>
        <patternFill patternType="none">
          <fgColor indexed="64"/>
          <bgColor auto="1"/>
        </patternFill>
      </fill>
      <alignment horizontal="center" vertical="bottom" textRotation="0" wrapText="0" indent="0" justifyLastLine="0" shrinkToFit="0" readingOrder="0"/>
      <border diagonalUp="0" diagonalDown="0" outline="0">
        <left/>
        <right/>
        <top style="thin">
          <color theme="0" tint="-0.24994659260841701"/>
        </top>
        <bottom style="thin">
          <color theme="0" tint="-0.24994659260841701"/>
        </bottom>
      </border>
    </dxf>
    <dxf>
      <fill>
        <patternFill patternType="none">
          <fgColor indexed="64"/>
          <bgColor auto="1"/>
        </patternFill>
      </fill>
      <border diagonalUp="0" diagonalDown="0" outline="0">
        <left/>
        <right/>
        <top style="thin">
          <color theme="0" tint="-0.24994659260841701"/>
        </top>
        <bottom/>
      </border>
    </dxf>
    <dxf>
      <numFmt numFmtId="0" formatCode="General"/>
      <fill>
        <patternFill patternType="none">
          <fgColor indexed="64"/>
          <bgColor auto="1"/>
        </patternFill>
      </fill>
      <alignment horizontal="center" vertical="bottom" textRotation="0" wrapText="0" indent="0" justifyLastLine="0" shrinkToFit="0" readingOrder="0"/>
      <border diagonalUp="0" diagonalDown="0" outline="0">
        <left/>
        <right/>
        <top style="thin">
          <color theme="0" tint="-0.24994659260841701"/>
        </top>
        <bottom style="thin">
          <color theme="0" tint="-0.24994659260841701"/>
        </bottom>
      </border>
    </dxf>
    <dxf>
      <fill>
        <patternFill patternType="none">
          <fgColor indexed="64"/>
          <bgColor auto="1"/>
        </patternFill>
      </fill>
      <border diagonalUp="0" diagonalDown="0" outline="0">
        <left/>
        <right/>
        <top style="thin">
          <color theme="0" tint="-0.24994659260841701"/>
        </top>
        <bottom/>
      </border>
    </dxf>
    <dxf>
      <numFmt numFmtId="0" formatCode="General"/>
      <fill>
        <patternFill patternType="none">
          <fgColor indexed="64"/>
          <bgColor auto="1"/>
        </patternFill>
      </fill>
      <alignment horizontal="center" vertical="bottom" textRotation="0" wrapText="0" indent="0" justifyLastLine="0" shrinkToFit="0" readingOrder="0"/>
      <border diagonalUp="0" diagonalDown="0" outline="0">
        <left/>
        <right/>
        <top style="thin">
          <color theme="0" tint="-0.24994659260841701"/>
        </top>
        <bottom style="thin">
          <color theme="0" tint="-0.24994659260841701"/>
        </bottom>
      </border>
    </dxf>
    <dxf>
      <fill>
        <patternFill patternType="none">
          <fgColor indexed="64"/>
          <bgColor auto="1"/>
        </patternFill>
      </fill>
      <border diagonalUp="0" diagonalDown="0" outline="0">
        <left/>
        <right/>
        <top style="thin">
          <color theme="0" tint="-0.24994659260841701"/>
        </top>
        <bottom/>
      </border>
    </dxf>
    <dxf>
      <numFmt numFmtId="0" formatCode="General"/>
      <fill>
        <patternFill patternType="none">
          <fgColor indexed="64"/>
          <bgColor auto="1"/>
        </patternFill>
      </fill>
      <alignment horizontal="center" vertical="bottom" textRotation="0" wrapText="0" indent="0" justifyLastLine="0" shrinkToFit="0" readingOrder="0"/>
      <border diagonalUp="0" diagonalDown="0" outline="0">
        <left/>
        <right/>
        <top style="thin">
          <color theme="0" tint="-0.24994659260841701"/>
        </top>
        <bottom style="thin">
          <color theme="0" tint="-0.24994659260841701"/>
        </bottom>
      </border>
    </dxf>
    <dxf>
      <numFmt numFmtId="0" formatCode="General"/>
      <fill>
        <patternFill patternType="none">
          <fgColor indexed="64"/>
          <bgColor auto="1"/>
        </patternFill>
      </fill>
      <border diagonalUp="0" diagonalDown="0" outline="0">
        <left/>
        <right/>
        <top style="thin">
          <color theme="0" tint="-0.24994659260841701"/>
        </top>
        <bottom/>
      </border>
    </dxf>
    <dxf>
      <numFmt numFmtId="0" formatCode="General"/>
      <fill>
        <patternFill patternType="none">
          <fgColor indexed="64"/>
          <bgColor auto="1"/>
        </patternFill>
      </fill>
      <alignment horizontal="center" vertical="bottom" textRotation="0" wrapText="0" indent="0" justifyLastLine="0" shrinkToFit="0" readingOrder="0"/>
      <border diagonalUp="0" diagonalDown="0" outline="0">
        <left/>
        <right/>
        <top style="thin">
          <color theme="0" tint="-0.24994659260841701"/>
        </top>
        <bottom style="thin">
          <color theme="0" tint="-0.24994659260841701"/>
        </bottom>
      </border>
    </dxf>
    <dxf>
      <numFmt numFmtId="0" formatCode="General"/>
      <fill>
        <patternFill patternType="none">
          <fgColor indexed="64"/>
          <bgColor auto="1"/>
        </patternFill>
      </fill>
      <border diagonalUp="0" diagonalDown="0" outline="0">
        <left/>
        <right/>
        <top style="thin">
          <color theme="0" tint="-0.24994659260841701"/>
        </top>
        <bottom/>
      </border>
    </dxf>
    <dxf>
      <numFmt numFmtId="0" formatCode="General"/>
      <fill>
        <patternFill patternType="none">
          <fgColor indexed="64"/>
          <bgColor auto="1"/>
        </patternFill>
      </fill>
      <alignment horizontal="center" vertical="bottom" textRotation="0" wrapText="0" indent="0" justifyLastLine="0" shrinkToFit="0" readingOrder="0"/>
      <border diagonalUp="0" diagonalDown="0" outline="0">
        <left/>
        <right/>
        <top style="thin">
          <color theme="0" tint="-0.24994659260841701"/>
        </top>
        <bottom style="thin">
          <color theme="0" tint="-0.24994659260841701"/>
        </bottom>
      </border>
    </dxf>
    <dxf>
      <fill>
        <patternFill patternType="none">
          <fgColor indexed="64"/>
          <bgColor auto="1"/>
        </patternFill>
      </fill>
    </dxf>
    <dxf>
      <fill>
        <patternFill patternType="solid">
          <fgColor indexed="64"/>
          <bgColor theme="7" tint="0.79998168889431442"/>
        </patternFill>
      </fill>
      <border diagonalUp="0" diagonalDown="0">
        <left/>
        <right/>
        <top style="thin">
          <color theme="0" tint="-0.24994659260841701"/>
        </top>
        <bottom style="thin">
          <color theme="0" tint="-0.24994659260841701"/>
        </bottom>
        <vertical/>
        <horizontal/>
      </border>
    </dxf>
    <dxf>
      <fill>
        <patternFill patternType="none">
          <fgColor indexed="64"/>
          <bgColor auto="1"/>
        </patternFill>
      </fill>
    </dxf>
    <dxf>
      <font>
        <strike val="0"/>
        <outline val="0"/>
        <shadow val="0"/>
        <u val="none"/>
        <vertAlign val="baseline"/>
        <sz val="11"/>
        <color auto="1"/>
        <name val="Calibri"/>
        <family val="2"/>
        <scheme val="minor"/>
      </font>
      <numFmt numFmtId="22" formatCode="mmm/yy"/>
      <fill>
        <patternFill patternType="solid">
          <fgColor indexed="64"/>
          <bgColor rgb="FFD8E6F6"/>
        </patternFill>
      </fill>
    </dxf>
    <dxf>
      <font>
        <b/>
        <i/>
      </font>
      <numFmt numFmtId="168" formatCode="_-* #,##0.0_-;\-* #,##0.0_-;_-* &quot;-&quot;??_-;_-@_-"/>
    </dxf>
    <dxf>
      <font>
        <b/>
      </font>
      <numFmt numFmtId="0" formatCode="General"/>
    </dxf>
    <dxf>
      <fill>
        <patternFill patternType="solid">
          <fgColor indexed="64"/>
          <bgColor theme="7" tint="0.79998168889431442"/>
        </patternFill>
      </fill>
      <alignment horizontal="center" vertical="bottom" textRotation="0" wrapText="0" indent="0" justifyLastLine="0" shrinkToFit="0" readingOrder="0"/>
      <border diagonalUp="0" diagonalDown="0">
        <left/>
        <right style="thin">
          <color theme="0" tint="-0.24994659260841701"/>
        </right>
        <top style="thin">
          <color theme="0" tint="-0.24994659260841701"/>
        </top>
        <bottom/>
        <vertical/>
        <horizontal/>
      </border>
    </dxf>
    <dxf>
      <fill>
        <patternFill patternType="solid">
          <fgColor indexed="64"/>
          <bgColor theme="7" tint="0.79998168889431442"/>
        </patternFill>
      </fill>
      <alignment horizontal="center" vertical="bottom" textRotation="0" wrapText="0" indent="0" justifyLastLine="0" shrinkToFit="0" readingOrder="0"/>
      <border diagonalUp="0" diagonalDown="0">
        <left/>
        <right/>
        <top style="thin">
          <color theme="0" tint="-0.24994659260841701"/>
        </top>
        <bottom/>
        <vertical/>
        <horizontal/>
      </border>
    </dxf>
    <dxf>
      <fill>
        <patternFill patternType="solid">
          <fgColor indexed="64"/>
          <bgColor theme="7" tint="0.79998168889431442"/>
        </patternFill>
      </fill>
      <alignment horizontal="center" vertical="bottom" textRotation="0" wrapText="0" indent="0" justifyLastLine="0" shrinkToFit="0" readingOrder="0"/>
      <border diagonalUp="0" diagonalDown="0">
        <left/>
        <right/>
        <top style="thin">
          <color theme="0" tint="-0.24994659260841701"/>
        </top>
        <bottom/>
        <vertical/>
        <horizontal/>
      </border>
    </dxf>
    <dxf>
      <fill>
        <patternFill patternType="solid">
          <fgColor indexed="64"/>
          <bgColor theme="7" tint="0.79998168889431442"/>
        </patternFill>
      </fill>
      <alignment horizontal="center" vertical="bottom" textRotation="0" wrapText="0" indent="0" justifyLastLine="0" shrinkToFit="0" readingOrder="0"/>
      <border diagonalUp="0" diagonalDown="0">
        <left/>
        <right/>
        <top style="thin">
          <color theme="0" tint="-0.24994659260841701"/>
        </top>
        <bottom/>
        <vertical/>
        <horizontal/>
      </border>
    </dxf>
    <dxf>
      <fill>
        <patternFill patternType="solid">
          <fgColor indexed="64"/>
          <bgColor theme="7" tint="0.79998168889431442"/>
        </patternFill>
      </fill>
      <alignment horizontal="center" vertical="bottom" textRotation="0" wrapText="0" indent="0" justifyLastLine="0" shrinkToFit="0" readingOrder="0"/>
      <border diagonalUp="0" diagonalDown="0">
        <left/>
        <right/>
        <top style="thin">
          <color theme="0" tint="-0.24994659260841701"/>
        </top>
        <bottom/>
        <vertical/>
        <horizontal/>
      </border>
    </dxf>
    <dxf>
      <fill>
        <patternFill patternType="solid">
          <fgColor indexed="64"/>
          <bgColor theme="7" tint="0.79998168889431442"/>
        </patternFill>
      </fill>
      <alignment horizontal="center" vertical="bottom" textRotation="0" wrapText="0" indent="0" justifyLastLine="0" shrinkToFit="0" readingOrder="0"/>
      <border diagonalUp="0" diagonalDown="0">
        <left/>
        <right/>
        <top style="thin">
          <color theme="0" tint="-0.24994659260841701"/>
        </top>
        <bottom/>
        <vertical/>
        <horizontal/>
      </border>
    </dxf>
    <dxf>
      <fill>
        <patternFill patternType="solid">
          <fgColor indexed="64"/>
          <bgColor theme="7" tint="0.79998168889431442"/>
        </patternFill>
      </fill>
      <alignment horizontal="center" vertical="bottom" textRotation="0" wrapText="0" indent="0" justifyLastLine="0" shrinkToFit="0" readingOrder="0"/>
      <border diagonalUp="0" diagonalDown="0">
        <left/>
        <right/>
        <top style="thin">
          <color theme="0" tint="-0.24994659260841701"/>
        </top>
        <bottom/>
        <vertical/>
        <horizontal/>
      </border>
    </dxf>
    <dxf>
      <fill>
        <patternFill patternType="solid">
          <fgColor indexed="64"/>
          <bgColor theme="7" tint="0.79998168889431442"/>
        </patternFill>
      </fill>
      <alignment horizontal="center" vertical="bottom" textRotation="0" wrapText="0" indent="0" justifyLastLine="0" shrinkToFit="0" readingOrder="0"/>
      <border diagonalUp="0" diagonalDown="0">
        <left/>
        <right/>
        <top style="thin">
          <color theme="0" tint="-0.24994659260841701"/>
        </top>
        <bottom/>
        <vertical/>
        <horizontal/>
      </border>
    </dxf>
    <dxf>
      <fill>
        <patternFill patternType="solid">
          <fgColor indexed="64"/>
          <bgColor theme="7" tint="0.79998168889431442"/>
        </patternFill>
      </fill>
      <alignment horizontal="center" vertical="bottom" textRotation="0" wrapText="0" indent="0" justifyLastLine="0" shrinkToFit="0" readingOrder="0"/>
      <border diagonalUp="0" diagonalDown="0">
        <left/>
        <right/>
        <top style="thin">
          <color theme="0" tint="-0.24994659260841701"/>
        </top>
        <bottom/>
        <vertical/>
        <horizontal/>
      </border>
    </dxf>
    <dxf>
      <fill>
        <patternFill patternType="solid">
          <fgColor indexed="64"/>
          <bgColor theme="7" tint="0.79998168889431442"/>
        </patternFill>
      </fill>
      <alignment horizontal="center" vertical="bottom" textRotation="0" wrapText="0" indent="0" justifyLastLine="0" shrinkToFit="0" readingOrder="0"/>
      <border diagonalUp="0" diagonalDown="0">
        <left/>
        <right/>
        <top style="thin">
          <color theme="0" tint="-0.24994659260841701"/>
        </top>
        <bottom/>
        <vertical/>
        <horizontal/>
      </border>
    </dxf>
    <dxf>
      <fill>
        <patternFill patternType="solid">
          <fgColor indexed="64"/>
          <bgColor theme="7" tint="0.79998168889431442"/>
        </patternFill>
      </fill>
      <alignment horizontal="center" vertical="bottom" textRotation="0" wrapText="0" indent="0" justifyLastLine="0" shrinkToFit="0" readingOrder="0"/>
      <border diagonalUp="0" diagonalDown="0">
        <left/>
        <right/>
        <top style="thin">
          <color theme="0" tint="-0.24994659260841701"/>
        </top>
        <bottom/>
        <vertical/>
        <horizontal/>
      </border>
    </dxf>
    <dxf>
      <fill>
        <patternFill patternType="solid">
          <fgColor indexed="64"/>
          <bgColor theme="7" tint="0.79998168889431442"/>
        </patternFill>
      </fill>
      <alignment horizontal="center" vertical="bottom" textRotation="0" wrapText="0" indent="0" justifyLastLine="0" shrinkToFit="0" readingOrder="0"/>
      <border diagonalUp="0" diagonalDown="0">
        <left style="thin">
          <color theme="0" tint="-0.24994659260841701"/>
        </left>
        <right/>
        <top style="thin">
          <color theme="0" tint="-0.24994659260841701"/>
        </top>
        <bottom/>
        <vertical/>
        <horizontal/>
      </border>
    </dxf>
    <dxf>
      <fill>
        <patternFill patternType="solid">
          <fgColor indexed="64"/>
          <bgColor theme="7" tint="0.79998168889431442"/>
        </patternFill>
      </fill>
      <border diagonalUp="0" diagonalDown="0">
        <left/>
        <right/>
        <top style="thin">
          <color theme="0" tint="-0.24994659260841701"/>
        </top>
        <bottom style="thin">
          <color theme="0" tint="-0.24994659260841701"/>
        </bottom>
        <vertical/>
        <horizontal/>
      </border>
    </dxf>
    <dxf>
      <font>
        <strike val="0"/>
        <outline val="0"/>
        <shadow val="0"/>
        <u val="none"/>
        <vertAlign val="baseline"/>
        <sz val="11"/>
        <color auto="1"/>
        <name val="Calibri"/>
        <family val="2"/>
        <scheme val="minor"/>
      </font>
      <numFmt numFmtId="22" formatCode="mmm/yy"/>
      <fill>
        <patternFill patternType="solid">
          <fgColor indexed="64"/>
          <bgColor rgb="FFD8E6F6"/>
        </patternFill>
      </fill>
    </dxf>
    <dxf>
      <numFmt numFmtId="1" formatCode="0"/>
      <fill>
        <patternFill patternType="solid">
          <fgColor indexed="64"/>
          <bgColor theme="5" tint="0.79998168889431442"/>
        </patternFill>
      </fill>
      <border diagonalUp="0" diagonalDown="0">
        <left/>
        <right/>
        <top style="thin">
          <color theme="0" tint="-0.24994659260841701"/>
        </top>
        <bottom style="thin">
          <color theme="0" tint="-0.24994659260841701"/>
        </bottom>
        <vertical/>
        <horizontal style="thin">
          <color theme="0" tint="-0.24994659260841701"/>
        </horizontal>
      </border>
    </dxf>
    <dxf>
      <font>
        <b/>
        <i/>
      </font>
      <numFmt numFmtId="168" formatCode="_-* #,##0.0_-;\-* #,##0.0_-;_-* &quot;-&quot;??_-;_-@_-"/>
    </dxf>
    <dxf>
      <font>
        <b/>
      </font>
      <numFmt numFmtId="0" formatCode="General"/>
    </dxf>
    <dxf>
      <fill>
        <patternFill patternType="solid">
          <fgColor indexed="64"/>
          <bgColor theme="7" tint="0.79998168889431442"/>
        </patternFill>
      </fill>
      <alignment horizontal="center" vertical="bottom" textRotation="0" wrapText="0"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fill>
        <patternFill patternType="solid">
          <fgColor indexed="64"/>
          <bgColor theme="7" tint="0.79998168889431442"/>
        </patternFill>
      </fill>
      <alignment horizontal="center" vertical="bottom" textRotation="0" wrapText="0" indent="0" justifyLastLine="0" shrinkToFit="0" readingOrder="0"/>
      <border diagonalUp="0" diagonalDown="0" outline="0">
        <left/>
        <right/>
        <top style="thin">
          <color theme="0" tint="-0.24994659260841701"/>
        </top>
        <bottom style="thin">
          <color theme="0" tint="-0.24994659260841701"/>
        </bottom>
      </border>
    </dxf>
    <dxf>
      <fill>
        <patternFill patternType="solid">
          <fgColor indexed="64"/>
          <bgColor theme="7" tint="0.79998168889431442"/>
        </patternFill>
      </fill>
      <alignment horizontal="center" vertical="bottom" textRotation="0" wrapText="0" indent="0" justifyLastLine="0" shrinkToFit="0" readingOrder="0"/>
      <border diagonalUp="0" diagonalDown="0" outline="0">
        <left/>
        <right/>
        <top style="thin">
          <color theme="0" tint="-0.24994659260841701"/>
        </top>
        <bottom style="thin">
          <color theme="0" tint="-0.24994659260841701"/>
        </bottom>
      </border>
    </dxf>
    <dxf>
      <fill>
        <patternFill patternType="solid">
          <fgColor indexed="64"/>
          <bgColor theme="7" tint="0.79998168889431442"/>
        </patternFill>
      </fill>
      <alignment horizontal="center" vertical="bottom" textRotation="0" wrapText="0" indent="0" justifyLastLine="0" shrinkToFit="0" readingOrder="0"/>
      <border diagonalUp="0" diagonalDown="0" outline="0">
        <left/>
        <right/>
        <top style="thin">
          <color theme="0" tint="-0.24994659260841701"/>
        </top>
        <bottom style="thin">
          <color theme="0" tint="-0.24994659260841701"/>
        </bottom>
      </border>
    </dxf>
    <dxf>
      <fill>
        <patternFill patternType="solid">
          <fgColor indexed="64"/>
          <bgColor theme="7" tint="0.79998168889431442"/>
        </patternFill>
      </fill>
      <alignment horizontal="center" vertical="bottom" textRotation="0" wrapText="0" indent="0" justifyLastLine="0" shrinkToFit="0" readingOrder="0"/>
      <border diagonalUp="0" diagonalDown="0" outline="0">
        <left/>
        <right/>
        <top style="thin">
          <color theme="0" tint="-0.24994659260841701"/>
        </top>
        <bottom style="thin">
          <color theme="0" tint="-0.24994659260841701"/>
        </bottom>
      </border>
    </dxf>
    <dxf>
      <fill>
        <patternFill patternType="solid">
          <fgColor indexed="64"/>
          <bgColor theme="7" tint="0.79998168889431442"/>
        </patternFill>
      </fill>
      <alignment horizontal="center" vertical="bottom" textRotation="0" wrapText="0" indent="0" justifyLastLine="0" shrinkToFit="0" readingOrder="0"/>
      <border diagonalUp="0" diagonalDown="0" outline="0">
        <left/>
        <right/>
        <top style="thin">
          <color theme="0" tint="-0.24994659260841701"/>
        </top>
        <bottom style="thin">
          <color theme="0" tint="-0.24994659260841701"/>
        </bottom>
      </border>
    </dxf>
    <dxf>
      <fill>
        <patternFill patternType="solid">
          <fgColor indexed="64"/>
          <bgColor theme="7" tint="0.79998168889431442"/>
        </patternFill>
      </fill>
      <alignment horizontal="center" vertical="bottom" textRotation="0" wrapText="0" indent="0" justifyLastLine="0" shrinkToFit="0" readingOrder="0"/>
      <border diagonalUp="0" diagonalDown="0" outline="0">
        <left/>
        <right/>
        <top style="thin">
          <color theme="0" tint="-0.24994659260841701"/>
        </top>
        <bottom style="thin">
          <color theme="0" tint="-0.24994659260841701"/>
        </bottom>
      </border>
    </dxf>
    <dxf>
      <fill>
        <patternFill patternType="solid">
          <fgColor indexed="64"/>
          <bgColor theme="7" tint="0.79998168889431442"/>
        </patternFill>
      </fill>
      <alignment horizontal="center" vertical="bottom" textRotation="0" wrapText="0" indent="0" justifyLastLine="0" shrinkToFit="0" readingOrder="0"/>
      <border diagonalUp="0" diagonalDown="0" outline="0">
        <left/>
        <right/>
        <top style="thin">
          <color theme="0" tint="-0.24994659260841701"/>
        </top>
        <bottom style="thin">
          <color theme="0" tint="-0.24994659260841701"/>
        </bottom>
      </border>
    </dxf>
    <dxf>
      <fill>
        <patternFill patternType="solid">
          <fgColor indexed="64"/>
          <bgColor theme="7" tint="0.79998168889431442"/>
        </patternFill>
      </fill>
      <alignment horizontal="center" vertical="bottom" textRotation="0" wrapText="0" indent="0" justifyLastLine="0" shrinkToFit="0" readingOrder="0"/>
      <border diagonalUp="0" diagonalDown="0" outline="0">
        <left/>
        <right/>
        <top style="thin">
          <color theme="0" tint="-0.24994659260841701"/>
        </top>
        <bottom style="thin">
          <color theme="0" tint="-0.24994659260841701"/>
        </bottom>
      </border>
    </dxf>
    <dxf>
      <fill>
        <patternFill patternType="solid">
          <fgColor indexed="64"/>
          <bgColor theme="7" tint="0.79998168889431442"/>
        </patternFill>
      </fill>
      <alignment horizontal="center" vertical="bottom" textRotation="0" wrapText="0" indent="0" justifyLastLine="0" shrinkToFit="0" readingOrder="0"/>
      <border diagonalUp="0" diagonalDown="0" outline="0">
        <left/>
        <right/>
        <top style="thin">
          <color theme="0" tint="-0.24994659260841701"/>
        </top>
        <bottom style="thin">
          <color theme="0" tint="-0.24994659260841701"/>
        </bottom>
      </border>
    </dxf>
    <dxf>
      <fill>
        <patternFill patternType="solid">
          <fgColor indexed="64"/>
          <bgColor theme="7" tint="0.79998168889431442"/>
        </patternFill>
      </fill>
      <alignment horizontal="center" vertical="bottom" textRotation="0" wrapText="0" indent="0" justifyLastLine="0" shrinkToFit="0" readingOrder="0"/>
      <border diagonalUp="0" diagonalDown="0" outline="0">
        <left/>
        <right/>
        <top style="thin">
          <color theme="0" tint="-0.24994659260841701"/>
        </top>
        <bottom style="thin">
          <color theme="0" tint="-0.24994659260841701"/>
        </bottom>
      </border>
    </dxf>
    <dxf>
      <fill>
        <patternFill patternType="solid">
          <fgColor indexed="64"/>
          <bgColor theme="7" tint="0.79998168889431442"/>
        </patternFill>
      </fill>
      <alignment horizontal="center" vertical="bottom" textRotation="0" wrapText="0"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ill>
        <patternFill patternType="solid">
          <fgColor indexed="64"/>
          <bgColor theme="7" tint="0.79998168889431442"/>
        </patternFill>
      </fill>
      <border diagonalUp="0" diagonalDown="0" outline="0">
        <left/>
        <right/>
        <top style="thin">
          <color theme="0" tint="-0.24994659260841701"/>
        </top>
        <bottom/>
      </border>
    </dxf>
    <dxf>
      <font>
        <strike val="0"/>
        <outline val="0"/>
        <shadow val="0"/>
        <u val="none"/>
        <vertAlign val="baseline"/>
        <sz val="11"/>
        <color auto="1"/>
        <name val="Calibri"/>
        <family val="2"/>
        <scheme val="minor"/>
      </font>
      <numFmt numFmtId="22" formatCode="mmm/yy"/>
      <fill>
        <patternFill patternType="solid">
          <fgColor indexed="64"/>
          <bgColor rgb="FFD8E6F6"/>
        </patternFill>
      </fill>
    </dxf>
  </dxfs>
  <tableStyles count="0" defaultTableStyle="TableStyleMedium2" defaultPivotStyle="PivotStyleLight16"/>
  <colors>
    <mruColors>
      <color rgb="FFD8E6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144780</xdr:colOff>
      <xdr:row>16</xdr:row>
      <xdr:rowOff>30480</xdr:rowOff>
    </xdr:from>
    <xdr:to>
      <xdr:col>8</xdr:col>
      <xdr:colOff>223958</xdr:colOff>
      <xdr:row>31</xdr:row>
      <xdr:rowOff>152400</xdr:rowOff>
    </xdr:to>
    <xdr:pic>
      <xdr:nvPicPr>
        <xdr:cNvPr id="2" name="Picture 1" descr="A black screen with white text&#10;&#10;Description automatically generated">
          <a:extLst>
            <a:ext uri="{FF2B5EF4-FFF2-40B4-BE49-F238E27FC236}">
              <a16:creationId xmlns:a16="http://schemas.microsoft.com/office/drawing/2014/main" id="{DE8A909D-965A-75B8-3F30-C591687929F8}"/>
            </a:ext>
          </a:extLst>
        </xdr:cNvPr>
        <xdr:cNvPicPr>
          <a:picLocks noChangeAspect="1"/>
        </xdr:cNvPicPr>
      </xdr:nvPicPr>
      <xdr:blipFill>
        <a:blip xmlns:r="http://schemas.openxmlformats.org/officeDocument/2006/relationships" r:embed="rId1"/>
        <a:stretch>
          <a:fillRect/>
        </a:stretch>
      </xdr:blipFill>
      <xdr:spPr>
        <a:xfrm>
          <a:off x="144780" y="2514600"/>
          <a:ext cx="6053258" cy="286512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55925E3-F58A-4EAB-A8FA-23E97BB11F28}" name="Table_Måltall" displayName="Table_Måltall" ref="B5:Q18" totalsRowShown="0" headerRowDxfId="82">
  <autoFilter ref="B5:Q18" xr:uid="{3F3085FA-93B8-40BE-A4E1-B9ADEE8F146F}"/>
  <tableColumns count="16">
    <tableColumn id="1" xr3:uid="{2A275702-256A-438D-8F44-444AB7C4115E}" name="Kommune" dataDxfId="81"/>
    <tableColumn id="2" xr3:uid="{CF3D497F-2B98-4123-ACE6-235D518A12E6}" name="jan.25" dataDxfId="80"/>
    <tableColumn id="3" xr3:uid="{927C8294-E103-46E4-AE5D-B93F60D44028}" name="feb.25" dataDxfId="79"/>
    <tableColumn id="4" xr3:uid="{167A299B-CAF6-487A-A00A-A87755CB0E55}" name="mar.25" dataDxfId="78"/>
    <tableColumn id="5" xr3:uid="{E852444F-E5DE-4C61-BF4D-84DBF2D1B653}" name="apr.25" dataDxfId="77"/>
    <tableColumn id="6" xr3:uid="{7AD2A95A-BB6A-4AAD-A0CE-A23BDB04F583}" name="mai.25" dataDxfId="76"/>
    <tableColumn id="7" xr3:uid="{FABE5E28-055A-483A-842F-670CC228A94F}" name="jun.25" dataDxfId="75"/>
    <tableColumn id="8" xr3:uid="{9FA05735-D0AF-4F0E-9D84-471DF3486733}" name="jul.25" dataDxfId="74"/>
    <tableColumn id="9" xr3:uid="{16E2C442-58F3-4982-ABE5-B58AAA24001C}" name="aug.25" dataDxfId="73"/>
    <tableColumn id="10" xr3:uid="{BB99F243-3340-462D-8D14-3919482C712D}" name="sep.25" dataDxfId="72"/>
    <tableColumn id="11" xr3:uid="{3E5138C1-B8E1-4B7E-9734-FF9D57FEFF3B}" name="okt.25" dataDxfId="71"/>
    <tableColumn id="12" xr3:uid="{B26EFCB2-885A-418B-BCF2-D6ADA85D85FE}" name="nov.25" dataDxfId="70"/>
    <tableColumn id="13" xr3:uid="{D52879CD-0A7B-415F-9B39-F27D1E889496}" name="des.25" dataDxfId="69"/>
    <tableColumn id="14" xr3:uid="{C3A62AE9-5BB3-48B4-BBD0-422E6C3651F1}" name="Summen av måltall per måned for perioden" dataDxfId="68">
      <calculatedColumnFormula>SUM(Table_Måltall[[#This Row],[jan.25]:[des.25]])</calculatedColumnFormula>
    </tableColumn>
    <tableColumn id="15" xr3:uid="{E6DDA21E-3D91-47D2-80C6-CE25B59F3205}" name="Snitt per mnd i tjenesten" dataDxfId="67" dataCellStyle="Comma">
      <calculatedColumnFormula>IFERROR(Table_Måltall[[#This Row],[Summen av måltall per måned for perioden]]/Table_Måltall[[#This Row],[Antall aktive måneder for bruk av tjenesten]],"")</calculatedColumnFormula>
    </tableColumn>
    <tableColumn id="16" xr3:uid="{95CFE9D2-9E06-4618-8AF5-63C9198A49E8}" name="Antall aktive måneder for bruk av tjenesten" dataDxfId="66">
      <calculatedColumnFormula>COUNTIF(Table_Måltall[[#This Row],[jan.25]:[des.25]],"&gt;0")</calculatedColumnFormula>
    </tableColumn>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AB94563-AFAD-4487-8C84-0215ABF60237}" name="Table_Faktisk_antall_brukere" displayName="Table_Faktisk_antall_brukere" ref="B6:P19" totalsRowShown="0" headerRowDxfId="65">
  <autoFilter ref="B6:P19" xr:uid="{3F3085FA-93B8-40BE-A4E1-B9ADEE8F146F}"/>
  <tableColumns count="15">
    <tableColumn id="1" xr3:uid="{806CE064-5C02-4A8F-9862-98A719DDB11F}" name="Kommune" dataDxfId="64"/>
    <tableColumn id="2" xr3:uid="{A5FB2A31-2A26-4263-B322-B363D8A48B81}" name="jan.25" dataDxfId="63"/>
    <tableColumn id="3" xr3:uid="{CA509DCC-65A7-447A-ACBB-B7618E115DCC}" name="feb.25" dataDxfId="62"/>
    <tableColumn id="4" xr3:uid="{EF0F6E2C-6C25-4B1A-A22C-A30E4621881F}" name="mar.25" dataDxfId="61"/>
    <tableColumn id="5" xr3:uid="{E00F019F-B249-4C76-93B8-8AAC97DE1AB4}" name="apr.25" dataDxfId="60"/>
    <tableColumn id="6" xr3:uid="{FE50463C-E1FC-4CFD-8038-9ACA353DDBB9}" name="mai.25" dataDxfId="59"/>
    <tableColumn id="7" xr3:uid="{7DF60A99-55E9-4D37-A464-048A38348AF3}" name="jun.25" dataDxfId="58"/>
    <tableColumn id="8" xr3:uid="{293C3E6D-0B33-4CF2-B111-900193129F40}" name="jul.25" dataDxfId="57"/>
    <tableColumn id="9" xr3:uid="{8927FCCA-B958-44AA-930C-06CCFB0171A3}" name="aug.25" dataDxfId="56"/>
    <tableColumn id="10" xr3:uid="{9CE30074-3718-4A32-8347-68B98981BAF0}" name="sep.25" dataDxfId="55"/>
    <tableColumn id="11" xr3:uid="{FF65F1D0-60C0-47EC-BF68-92244C4D02F9}" name="okt.25" dataDxfId="54"/>
    <tableColumn id="12" xr3:uid="{1AC9739F-F4C3-4ACB-9A4E-72D32D9C0799}" name="nov.25" dataDxfId="53"/>
    <tableColumn id="13" xr3:uid="{E4A3D295-BF1D-48C2-BB7F-6C163CABF7E5}" name="des.25" dataDxfId="52"/>
    <tableColumn id="14" xr3:uid="{FBF24061-92D1-426F-848E-BCD78050B4A1}" name="Totalt 2025" dataDxfId="51">
      <calculatedColumnFormula>SUM(Table_Faktisk_antall_brukere[[#This Row],[jan.25]:[des.25]])</calculatedColumnFormula>
    </tableColumn>
    <tableColumn id="15" xr3:uid="{C40FCC90-4183-4038-B4E9-B2D3DCF55930}" name="Snitt 2025" dataDxfId="50" dataCellStyle="Comma">
      <calculatedColumnFormula>IFERROR(Table_Faktisk_antall_brukere[[#This Row],[Totalt 2025]]/COUNTIF(Table_Faktisk_antall_brukere[[#This Row],[jan.25]:[des.25]],"&gt;0"),"")</calculatedColumnFormula>
    </tableColumn>
  </tableColumns>
  <tableStyleInfo name="TableStyleMedium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04E9AA7-6E2A-4713-A916-0A42753BBCAB}" name="Table_Fakturering_antall_brukere" displayName="Table_Fakturering_antall_brukere" ref="B6:P19" totalsRowShown="0" headerRowDxfId="49" totalsRowDxfId="48">
  <autoFilter ref="B6:P19" xr:uid="{B04E9AA7-6E2A-4713-A916-0A42753BBCAB}"/>
  <tableColumns count="15">
    <tableColumn id="1" xr3:uid="{8F67B432-D10A-465A-87A6-F32F2491C3FD}" name="Kommune" dataDxfId="47" totalsRowDxfId="46"/>
    <tableColumn id="2" xr3:uid="{D56842B0-62F6-4770-8AE9-92BE36DDCF63}" name="jan.25" dataDxfId="45" totalsRowDxfId="44">
      <calculatedColumnFormula>IF(_xlfn.IFNA(INDEX(Table_Faktisk_antall_brukere[jan.25],MATCH(Table_Fakturering_antall_brukere[[#This Row],[Kommune]],Table_Faktisk_antall_brukere[Kommune],0)),0)&lt;_xlfn.IFNA(INDEX(Table_Måltall[jan.25],MATCH(Table_Fakturering_antall_brukere[[#This Row],[Kommune]],Table_Måltall[Kommune],0)),0),_xlfn.IFNA(INDEX(Table_Måltall[jan.25],MATCH(Table_Fakturering_antall_brukere[[#This Row],[Kommune]],Table_Måltall[Kommune],0)),0),_xlfn.IFNA(INDEX(Table_Faktisk_antall_brukere[jan.25],MATCH(Table_Fakturering_antall_brukere[[#This Row],[Kommune]],Table_Faktisk_antall_brukere[Kommune],0)),0))</calculatedColumnFormula>
    </tableColumn>
    <tableColumn id="3" xr3:uid="{546D37EC-CD1E-458A-B281-79FF247DB651}" name="feb.25" dataDxfId="43" totalsRowDxfId="42">
      <calculatedColumnFormula>IF(_xlfn.IFNA(INDEX(Table_Faktisk_antall_brukere[feb.25],MATCH(Table_Fakturering_antall_brukere[[#This Row],[Kommune]],Table_Faktisk_antall_brukere[Kommune],0)),0)&lt;_xlfn.IFNA(INDEX(Table_Måltall[feb.25],MATCH(Table_Fakturering_antall_brukere[[#This Row],[Kommune]],Table_Måltall[Kommune],0)),0),_xlfn.IFNA(INDEX(Table_Måltall[feb.25],MATCH(Table_Fakturering_antall_brukere[[#This Row],[Kommune]],Table_Måltall[Kommune],0)),0),_xlfn.IFNA(INDEX(Table_Faktisk_antall_brukere[feb.25],MATCH(Table_Fakturering_antall_brukere[[#This Row],[Kommune]],Table_Faktisk_antall_brukere[Kommune],0)),0))</calculatedColumnFormula>
    </tableColumn>
    <tableColumn id="4" xr3:uid="{A5EB30D1-AB15-4B81-AEC0-E0F3708A1130}" name="mar.25" dataDxfId="41" totalsRowDxfId="40">
      <calculatedColumnFormula>IF(_xlfn.IFNA(INDEX(Table_Faktisk_antall_brukere[mar.25],MATCH(Table_Fakturering_antall_brukere[[#This Row],[Kommune]],Table_Faktisk_antall_brukere[Kommune],0)),0)&lt;_xlfn.IFNA(INDEX(Table_Måltall[mar.25],MATCH(Table_Fakturering_antall_brukere[[#This Row],[Kommune]],Table_Måltall[Kommune],0)),0),_xlfn.IFNA(INDEX(Table_Måltall[mar.25],MATCH(Table_Fakturering_antall_brukere[[#This Row],[Kommune]],Table_Måltall[Kommune],0)),0),_xlfn.IFNA(INDEX(Table_Faktisk_antall_brukere[mar.25],MATCH(Table_Fakturering_antall_brukere[[#This Row],[Kommune]],Table_Faktisk_antall_brukere[Kommune],0)),0))</calculatedColumnFormula>
    </tableColumn>
    <tableColumn id="5" xr3:uid="{AD6DE0B2-747D-4141-BF74-18641EBAEAAA}" name="apr.25" dataDxfId="39" totalsRowDxfId="38">
      <calculatedColumnFormula>IF(_xlfn.IFNA(INDEX(Table_Faktisk_antall_brukere[apr.25],MATCH(Table_Fakturering_antall_brukere[[#This Row],[Kommune]],Table_Faktisk_antall_brukere[Kommune],0)),0)&lt;_xlfn.IFNA(INDEX(Table_Måltall[apr.25],MATCH(Table_Fakturering_antall_brukere[[#This Row],[Kommune]],Table_Måltall[Kommune],0)),0),_xlfn.IFNA(INDEX(Table_Måltall[apr.25],MATCH(Table_Fakturering_antall_brukere[[#This Row],[Kommune]],Table_Måltall[Kommune],0)),0),_xlfn.IFNA(INDEX(Table_Faktisk_antall_brukere[apr.25],MATCH(Table_Fakturering_antall_brukere[[#This Row],[Kommune]],Table_Faktisk_antall_brukere[Kommune],0)),0))</calculatedColumnFormula>
    </tableColumn>
    <tableColumn id="6" xr3:uid="{C795586A-1C6A-4622-A24D-BCCAA276AC8E}" name="mai.25" dataDxfId="37" totalsRowDxfId="36">
      <calculatedColumnFormula>IF(_xlfn.IFNA(INDEX(Table_Faktisk_antall_brukere[mai.25],MATCH(Table_Fakturering_antall_brukere[[#This Row],[Kommune]],Table_Faktisk_antall_brukere[Kommune],0)),0)&lt;_xlfn.IFNA(INDEX(Table_Måltall[mai.25],MATCH(Table_Fakturering_antall_brukere[[#This Row],[Kommune]],Table_Måltall[Kommune],0)),0),_xlfn.IFNA(INDEX(Table_Måltall[mai.25],MATCH(Table_Fakturering_antall_brukere[[#This Row],[Kommune]],Table_Måltall[Kommune],0)),0),_xlfn.IFNA(INDEX(Table_Faktisk_antall_brukere[mai.25],MATCH(Table_Fakturering_antall_brukere[[#This Row],[Kommune]],Table_Faktisk_antall_brukere[Kommune],0)),0))</calculatedColumnFormula>
    </tableColumn>
    <tableColumn id="7" xr3:uid="{8B423CB5-B715-41C1-8F6C-4CC50D32A112}" name="jun.25" dataDxfId="35" totalsRowDxfId="34">
      <calculatedColumnFormula>IF(_xlfn.IFNA(INDEX(Table_Faktisk_antall_brukere[jun.25],MATCH(Table_Fakturering_antall_brukere[[#This Row],[Kommune]],Table_Faktisk_antall_brukere[Kommune],0)),0)&lt;_xlfn.IFNA(INDEX(Table_Måltall[jun.25],MATCH(Table_Fakturering_antall_brukere[[#This Row],[Kommune]],Table_Måltall[Kommune],0)),0),_xlfn.IFNA(INDEX(Table_Måltall[jun.25],MATCH(Table_Fakturering_antall_brukere[[#This Row],[Kommune]],Table_Måltall[Kommune],0)),0),_xlfn.IFNA(INDEX(Table_Faktisk_antall_brukere[jun.25],MATCH(Table_Fakturering_antall_brukere[[#This Row],[Kommune]],Table_Faktisk_antall_brukere[Kommune],0)),0))</calculatedColumnFormula>
    </tableColumn>
    <tableColumn id="8" xr3:uid="{F5213505-B69F-4662-8364-F7FFFD5A26EF}" name="jul.25" dataDxfId="33" totalsRowDxfId="32">
      <calculatedColumnFormula>IF(_xlfn.IFNA(INDEX(Table_Faktisk_antall_brukere[jul.25],MATCH(Table_Fakturering_antall_brukere[[#This Row],[Kommune]],Table_Faktisk_antall_brukere[Kommune],0)),0)&lt;_xlfn.IFNA(INDEX(Table_Måltall[jul.25],MATCH(Table_Fakturering_antall_brukere[[#This Row],[Kommune]],Table_Måltall[Kommune],0)),0),_xlfn.IFNA(INDEX(Table_Måltall[jul.25],MATCH(Table_Fakturering_antall_brukere[[#This Row],[Kommune]],Table_Måltall[Kommune],0)),0),_xlfn.IFNA(INDEX(Table_Faktisk_antall_brukere[jul.25],MATCH(Table_Fakturering_antall_brukere[[#This Row],[Kommune]],Table_Faktisk_antall_brukere[Kommune],0)),0))</calculatedColumnFormula>
    </tableColumn>
    <tableColumn id="9" xr3:uid="{9B5B7125-C7D3-4DF7-A0F8-0CF37D3D1F57}" name="aug.25" dataDxfId="31" totalsRowDxfId="30">
      <calculatedColumnFormula>IF(_xlfn.IFNA(INDEX(Table_Faktisk_antall_brukere[aug.25],MATCH(Table_Fakturering_antall_brukere[[#This Row],[Kommune]],Table_Faktisk_antall_brukere[Kommune],0)),0)&lt;_xlfn.IFNA(INDEX(Table_Måltall[aug.25],MATCH(Table_Fakturering_antall_brukere[[#This Row],[Kommune]],Table_Måltall[Kommune],0)),0),_xlfn.IFNA(INDEX(Table_Måltall[aug.25],MATCH(Table_Fakturering_antall_brukere[[#This Row],[Kommune]],Table_Måltall[Kommune],0)),0),_xlfn.IFNA(INDEX(Table_Faktisk_antall_brukere[aug.25],MATCH(Table_Fakturering_antall_brukere[[#This Row],[Kommune]],Table_Faktisk_antall_brukere[Kommune],0)),0))</calculatedColumnFormula>
    </tableColumn>
    <tableColumn id="10" xr3:uid="{C0FB62A1-CE18-404C-90B2-38BB6F4D541C}" name="sep.25" dataDxfId="29" totalsRowDxfId="28">
      <calculatedColumnFormula>IF(_xlfn.IFNA(INDEX(Table_Faktisk_antall_brukere[sep.25],MATCH(Table_Fakturering_antall_brukere[[#This Row],[Kommune]],Table_Faktisk_antall_brukere[Kommune],0)),0)&lt;_xlfn.IFNA(INDEX(Table_Måltall[sep.25],MATCH(Table_Fakturering_antall_brukere[[#This Row],[Kommune]],Table_Måltall[Kommune],0)),0),_xlfn.IFNA(INDEX(Table_Måltall[sep.25],MATCH(Table_Fakturering_antall_brukere[[#This Row],[Kommune]],Table_Måltall[Kommune],0)),0),_xlfn.IFNA(INDEX(Table_Faktisk_antall_brukere[sep.25],MATCH(Table_Fakturering_antall_brukere[[#This Row],[Kommune]],Table_Faktisk_antall_brukere[Kommune],0)),0))</calculatedColumnFormula>
    </tableColumn>
    <tableColumn id="11" xr3:uid="{6037481A-C035-4713-A9AD-2B23E4E70E8A}" name="okt.25" dataDxfId="27" totalsRowDxfId="26">
      <calculatedColumnFormula>IF(_xlfn.IFNA(INDEX(Table_Faktisk_antall_brukere[okt.25],MATCH(Table_Fakturering_antall_brukere[[#This Row],[Kommune]],Table_Faktisk_antall_brukere[Kommune],0)),0)&lt;_xlfn.IFNA(INDEX(Table_Måltall[okt.25],MATCH(Table_Fakturering_antall_brukere[[#This Row],[Kommune]],Table_Måltall[Kommune],0)),0),_xlfn.IFNA(INDEX(Table_Måltall[okt.25],MATCH(Table_Fakturering_antall_brukere[[#This Row],[Kommune]],Table_Måltall[Kommune],0)),0),_xlfn.IFNA(INDEX(Table_Faktisk_antall_brukere[okt.25],MATCH(Table_Fakturering_antall_brukere[[#This Row],[Kommune]],Table_Faktisk_antall_brukere[Kommune],0)),0))</calculatedColumnFormula>
    </tableColumn>
    <tableColumn id="12" xr3:uid="{F29A78D6-F0B1-417F-9DC4-B313FEC715EB}" name="nov.25" dataDxfId="25" totalsRowDxfId="24">
      <calculatedColumnFormula>IF(_xlfn.IFNA(INDEX(Table_Faktisk_antall_brukere[nov.25],MATCH(Table_Fakturering_antall_brukere[[#This Row],[Kommune]],Table_Faktisk_antall_brukere[Kommune],0)),0)&lt;_xlfn.IFNA(INDEX(Table_Måltall[nov.25],MATCH(Table_Fakturering_antall_brukere[[#This Row],[Kommune]],Table_Måltall[Kommune],0)),0),_xlfn.IFNA(INDEX(Table_Måltall[nov.25],MATCH(Table_Fakturering_antall_brukere[[#This Row],[Kommune]],Table_Måltall[Kommune],0)),0),_xlfn.IFNA(INDEX(Table_Faktisk_antall_brukere[nov.25],MATCH(Table_Fakturering_antall_brukere[[#This Row],[Kommune]],Table_Faktisk_antall_brukere[Kommune],0)),0))</calculatedColumnFormula>
    </tableColumn>
    <tableColumn id="13" xr3:uid="{29676984-5BBB-4201-A0B8-876CB1920C8C}" name="des.25" dataDxfId="23" totalsRowDxfId="22">
      <calculatedColumnFormula>IF(_xlfn.IFNA(INDEX(Table_Faktisk_antall_brukere[des.25],MATCH(Table_Fakturering_antall_brukere[[#This Row],[Kommune]],Table_Faktisk_antall_brukere[Kommune],0)),0)&lt;_xlfn.IFNA(INDEX(Table_Måltall[des.25],MATCH(Table_Fakturering_antall_brukere[[#This Row],[Kommune]],Table_Måltall[Kommune],0)),0),_xlfn.IFNA(INDEX(Table_Måltall[des.25],MATCH(Table_Fakturering_antall_brukere[[#This Row],[Kommune]],Table_Måltall[Kommune],0)),0),_xlfn.IFNA(INDEX(Table_Faktisk_antall_brukere[des.25],MATCH(Table_Fakturering_antall_brukere[[#This Row],[Kommune]],Table_Faktisk_antall_brukere[Kommune],0)),0))</calculatedColumnFormula>
    </tableColumn>
    <tableColumn id="14" xr3:uid="{1AA69D37-9C44-4C91-A081-A71FB1FF4216}" name="Totalt 2025" dataDxfId="21" totalsRowDxfId="20">
      <calculatedColumnFormula>SUM(Table_Fakturering_antall_brukere[[#This Row],[jan.25]:[des.25]])</calculatedColumnFormula>
    </tableColumn>
    <tableColumn id="15" xr3:uid="{2EED87CA-1C33-47DE-9926-53AA4E9FD993}" name="Snitt 2025" dataDxfId="19" totalsRowDxfId="18" dataCellStyle="Comma" totalsRowCellStyle="Comma">
      <calculatedColumnFormula>Table_Fakturering_antall_brukere[[#This Row],[Totalt 2025]]/COUNTIF(Table_Fakturering_antall_brukere[[#This Row],[jan.25]:[des.25]],"&gt;0")</calculatedColumnFormula>
    </tableColumn>
  </tableColumns>
  <tableStyleInfo name="TableStyleMedium1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CF26963-0891-4C3D-A43A-BDF6A2FDBC19}" name="Table_Fakturert_per_mnd" displayName="Table_Fakturert_per_mnd" ref="B12:O25" totalsRowShown="0" headerRowDxfId="17" dataDxfId="15" headerRowBorderDxfId="16" tableBorderDxfId="14">
  <autoFilter ref="B12:O25" xr:uid="{7CF26963-0891-4C3D-A43A-BDF6A2FDBC19}"/>
  <tableColumns count="14">
    <tableColumn id="1" xr3:uid="{703C0C0A-F5F2-4810-B8D4-31965F1CD7AD}" name="Kommune" dataDxfId="13"/>
    <tableColumn id="2" xr3:uid="{F3DE93C6-2563-4448-AA3F-01ED48526063}" name="jan.25" dataDxfId="12" dataCellStyle="Comma">
      <calculatedColumnFormula>_xlfn.IFNA(INDEX(Table_Fakturering_antall_brukere[jan.25],MATCH(Table_Fakturert_per_mnd[[#This Row],[Kommune]],Table_Fakturering_antall_brukere[Kommune],0)),0)*$C$7</calculatedColumnFormula>
    </tableColumn>
    <tableColumn id="3" xr3:uid="{8CA7452F-397A-4FF3-BDCF-6D25A3348D56}" name="feb.25" dataDxfId="11">
      <calculatedColumnFormula>_xlfn.IFNA(INDEX(Table_Fakturering_antall_brukere[feb.25],MATCH(Table_Fakturert_per_mnd[[#This Row],[Kommune]],Table_Fakturering_antall_brukere[Kommune],0)),0)*$C$7</calculatedColumnFormula>
    </tableColumn>
    <tableColumn id="4" xr3:uid="{904BCEF5-59C4-4D54-A4C7-6916595C8697}" name="mar.25" dataDxfId="10">
      <calculatedColumnFormula>_xlfn.IFNA(INDEX(Table_Fakturering_antall_brukere[mar.25],MATCH(Table_Fakturert_per_mnd[[#This Row],[Kommune]],Table_Fakturering_antall_brukere[Kommune],0)),0)*$C$7</calculatedColumnFormula>
    </tableColumn>
    <tableColumn id="5" xr3:uid="{A24A533B-ADB7-4B04-9EF4-39A5D4947AC9}" name="apr.25" dataDxfId="9">
      <calculatedColumnFormula>_xlfn.IFNA(INDEX(Table_Fakturering_antall_brukere[apr.25],MATCH(Table_Fakturert_per_mnd[[#This Row],[Kommune]],Table_Fakturering_antall_brukere[Kommune],0)),0)*$C$7</calculatedColumnFormula>
    </tableColumn>
    <tableColumn id="6" xr3:uid="{ECB5B37D-8722-46BE-9B25-2C020D3849A0}" name="mai.25" dataDxfId="8">
      <calculatedColumnFormula>_xlfn.IFNA(INDEX(Table_Fakturering_antall_brukere[mai.25],MATCH(Table_Fakturert_per_mnd[[#This Row],[Kommune]],Table_Fakturering_antall_brukere[Kommune],0)),0)*$C$7</calculatedColumnFormula>
    </tableColumn>
    <tableColumn id="7" xr3:uid="{51AB58F9-F30A-4DC1-B0F0-6393779731C3}" name="jun.25" dataDxfId="7">
      <calculatedColumnFormula>_xlfn.IFNA(INDEX(Table_Fakturering_antall_brukere[jun.25],MATCH(Table_Fakturert_per_mnd[[#This Row],[Kommune]],Table_Fakturering_antall_brukere[Kommune],0)),0)*$C$7</calculatedColumnFormula>
    </tableColumn>
    <tableColumn id="8" xr3:uid="{4D9C3D5F-E645-444B-A31E-E409B9F31E29}" name="jul.25" dataDxfId="6">
      <calculatedColumnFormula>_xlfn.IFNA(INDEX(Table_Fakturering_antall_brukere[jul.25],MATCH(Table_Fakturert_per_mnd[[#This Row],[Kommune]],Table_Fakturering_antall_brukere[Kommune],0)),0)*$C$7</calculatedColumnFormula>
    </tableColumn>
    <tableColumn id="9" xr3:uid="{AA9C2C06-FC1C-43B6-AD03-00329246D013}" name="aug.25" dataDxfId="5">
      <calculatedColumnFormula>_xlfn.IFNA(INDEX(Table_Fakturering_antall_brukere[aug.25],MATCH(Table_Fakturert_per_mnd[[#This Row],[Kommune]],Table_Fakturering_antall_brukere[Kommune],0)),0)*$C$7</calculatedColumnFormula>
    </tableColumn>
    <tableColumn id="10" xr3:uid="{43DE395D-B7A6-4C6B-9401-736857D68416}" name="sep.25" dataDxfId="4">
      <calculatedColumnFormula>_xlfn.IFNA(INDEX(Table_Fakturering_antall_brukere[sep.25],MATCH(Table_Fakturert_per_mnd[[#This Row],[Kommune]],Table_Fakturering_antall_brukere[Kommune],0)),0)*$C$7</calculatedColumnFormula>
    </tableColumn>
    <tableColumn id="11" xr3:uid="{BEBB7171-B14B-4254-8282-4C8F478D6356}" name="okt.25" dataDxfId="3">
      <calculatedColumnFormula>_xlfn.IFNA(INDEX(Table_Fakturering_antall_brukere[okt.25],MATCH(Table_Fakturert_per_mnd[[#This Row],[Kommune]],Table_Fakturering_antall_brukere[Kommune],0)),0)*$C$7</calculatedColumnFormula>
    </tableColumn>
    <tableColumn id="12" xr3:uid="{C911C25E-E22A-4D06-8841-00AB974247A9}" name="nov.25" dataDxfId="2">
      <calculatedColumnFormula>_xlfn.IFNA(INDEX(Table_Fakturering_antall_brukere[nov.25],MATCH(Table_Fakturert_per_mnd[[#This Row],[Kommune]],Table_Fakturering_antall_brukere[Kommune],0)),0)*$C$7</calculatedColumnFormula>
    </tableColumn>
    <tableColumn id="13" xr3:uid="{48938A36-EF07-4DF0-8787-CB27442AFE92}" name="des.25" dataDxfId="1">
      <calculatedColumnFormula>_xlfn.IFNA(INDEX(Table_Fakturering_antall_brukere[des.25],MATCH(Table_Fakturert_per_mnd[[#This Row],[Kommune]],Table_Fakturering_antall_brukere[Kommune],0)),0)*$C$7</calculatedColumnFormula>
    </tableColumn>
    <tableColumn id="14" xr3:uid="{D0AD2CB6-E9E4-498B-A881-96D595EA2270}" name="Fakturering for  2025" dataDxfId="0" dataCellStyle="Comma">
      <calculatedColumnFormula>SUM(Table_Fakturert_per_mnd[[#This Row],[jan.25]:[des.25]])</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Innomed">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7A5B1-58E6-4263-8899-9B030C1E6424}">
  <dimension ref="B2:O70"/>
  <sheetViews>
    <sheetView showGridLines="0" tabSelected="1" workbookViewId="0"/>
  </sheetViews>
  <sheetFormatPr defaultRowHeight="14.4" x14ac:dyDescent="0.3"/>
  <cols>
    <col min="1" max="1" width="2.77734375" customWidth="1"/>
    <col min="2" max="2" width="10.21875" customWidth="1"/>
    <col min="3" max="3" width="31.33203125" customWidth="1"/>
    <col min="5" max="5" width="9" customWidth="1"/>
    <col min="6" max="6" width="7.109375" customWidth="1"/>
    <col min="12" max="12" width="5.109375" customWidth="1"/>
    <col min="14" max="14" width="6.21875" customWidth="1"/>
  </cols>
  <sheetData>
    <row r="2" spans="2:3" ht="22.8" x14ac:dyDescent="0.4">
      <c r="B2" s="118" t="s">
        <v>95</v>
      </c>
    </row>
    <row r="4" spans="2:3" x14ac:dyDescent="0.3">
      <c r="B4" t="s">
        <v>140</v>
      </c>
    </row>
    <row r="6" spans="2:3" x14ac:dyDescent="0.3">
      <c r="B6" t="s">
        <v>96</v>
      </c>
    </row>
    <row r="8" spans="2:3" x14ac:dyDescent="0.3">
      <c r="B8" t="s">
        <v>97</v>
      </c>
    </row>
    <row r="10" spans="2:3" x14ac:dyDescent="0.3">
      <c r="B10" t="s">
        <v>98</v>
      </c>
    </row>
    <row r="11" spans="2:3" x14ac:dyDescent="0.3">
      <c r="B11" s="88" t="s">
        <v>68</v>
      </c>
      <c r="C11" t="s">
        <v>99</v>
      </c>
    </row>
    <row r="13" spans="2:3" x14ac:dyDescent="0.3">
      <c r="B13" s="126" t="s">
        <v>100</v>
      </c>
    </row>
    <row r="14" spans="2:3" x14ac:dyDescent="0.3">
      <c r="B14" s="126" t="s">
        <v>101</v>
      </c>
    </row>
    <row r="16" spans="2:3" x14ac:dyDescent="0.3">
      <c r="B16" t="s">
        <v>102</v>
      </c>
    </row>
    <row r="34" spans="2:7" ht="18" x14ac:dyDescent="0.35">
      <c r="B34" s="125" t="s">
        <v>139</v>
      </c>
    </row>
    <row r="36" spans="2:7" ht="18" x14ac:dyDescent="0.35">
      <c r="B36" s="125" t="s">
        <v>104</v>
      </c>
    </row>
    <row r="37" spans="2:7" x14ac:dyDescent="0.3">
      <c r="B37" t="s">
        <v>105</v>
      </c>
    </row>
    <row r="38" spans="2:7" x14ac:dyDescent="0.3">
      <c r="B38" t="s">
        <v>106</v>
      </c>
      <c r="G38" s="119" t="s">
        <v>103</v>
      </c>
    </row>
    <row r="39" spans="2:7" x14ac:dyDescent="0.3">
      <c r="B39" t="s">
        <v>107</v>
      </c>
    </row>
    <row r="40" spans="2:7" ht="14.4" customHeight="1" x14ac:dyDescent="0.3"/>
    <row r="41" spans="2:7" ht="14.4" customHeight="1" x14ac:dyDescent="0.4">
      <c r="B41" s="3" t="s">
        <v>121</v>
      </c>
      <c r="C41" s="118"/>
    </row>
    <row r="42" spans="2:7" x14ac:dyDescent="0.3">
      <c r="B42" t="s">
        <v>116</v>
      </c>
    </row>
    <row r="43" spans="2:7" x14ac:dyDescent="0.3">
      <c r="B43" s="23" t="s">
        <v>117</v>
      </c>
    </row>
    <row r="44" spans="2:7" x14ac:dyDescent="0.3">
      <c r="B44" t="s">
        <v>118</v>
      </c>
    </row>
    <row r="45" spans="2:7" ht="4.95" customHeight="1" x14ac:dyDescent="0.3"/>
    <row r="46" spans="2:7" x14ac:dyDescent="0.3">
      <c r="B46" s="23" t="s">
        <v>119</v>
      </c>
    </row>
    <row r="47" spans="2:7" ht="4.95" customHeight="1" x14ac:dyDescent="0.3"/>
    <row r="48" spans="2:7" x14ac:dyDescent="0.3">
      <c r="B48" s="23" t="s">
        <v>120</v>
      </c>
    </row>
    <row r="50" spans="2:15" x14ac:dyDescent="0.3">
      <c r="B50" t="s">
        <v>122</v>
      </c>
      <c r="N50" s="119" t="s">
        <v>38</v>
      </c>
    </row>
    <row r="51" spans="2:15" x14ac:dyDescent="0.3">
      <c r="B51" t="s">
        <v>125</v>
      </c>
      <c r="M51" s="119"/>
    </row>
    <row r="52" spans="2:15" x14ac:dyDescent="0.3">
      <c r="B52" t="s">
        <v>123</v>
      </c>
      <c r="D52" s="119" t="s">
        <v>137</v>
      </c>
    </row>
    <row r="54" spans="2:15" x14ac:dyDescent="0.3">
      <c r="B54" s="126" t="s">
        <v>124</v>
      </c>
    </row>
    <row r="56" spans="2:15" ht="18" x14ac:dyDescent="0.35">
      <c r="B56" s="125" t="s">
        <v>126</v>
      </c>
    </row>
    <row r="57" spans="2:15" x14ac:dyDescent="0.3">
      <c r="B57" t="s">
        <v>127</v>
      </c>
      <c r="M57" s="119" t="s">
        <v>128</v>
      </c>
    </row>
    <row r="58" spans="2:15" ht="4.95" customHeight="1" x14ac:dyDescent="0.3"/>
    <row r="59" spans="2:15" x14ac:dyDescent="0.3">
      <c r="B59" t="s">
        <v>129</v>
      </c>
    </row>
    <row r="61" spans="2:15" ht="18" x14ac:dyDescent="0.35">
      <c r="B61" s="125" t="s">
        <v>130</v>
      </c>
    </row>
    <row r="62" spans="2:15" x14ac:dyDescent="0.3">
      <c r="B62" t="s">
        <v>133</v>
      </c>
      <c r="O62" s="119" t="s">
        <v>134</v>
      </c>
    </row>
    <row r="63" spans="2:15" x14ac:dyDescent="0.3">
      <c r="B63" t="s">
        <v>132</v>
      </c>
    </row>
    <row r="64" spans="2:15" ht="4.95" customHeight="1" x14ac:dyDescent="0.3"/>
    <row r="65" spans="2:8" x14ac:dyDescent="0.3">
      <c r="B65" t="s">
        <v>131</v>
      </c>
      <c r="F65" s="119" t="s">
        <v>137</v>
      </c>
    </row>
    <row r="66" spans="2:8" x14ac:dyDescent="0.3">
      <c r="B66" t="s">
        <v>135</v>
      </c>
    </row>
    <row r="68" spans="2:8" x14ac:dyDescent="0.3">
      <c r="B68" t="s">
        <v>136</v>
      </c>
      <c r="H68" s="119" t="s">
        <v>137</v>
      </c>
    </row>
    <row r="70" spans="2:8" x14ac:dyDescent="0.3">
      <c r="B70" t="s">
        <v>138</v>
      </c>
    </row>
  </sheetData>
  <hyperlinks>
    <hyperlink ref="G38" location="'Måltall og kostnadsestimering'!A1" display="Måltall og kostnadsestimering" xr:uid="{B02484E7-3837-4D75-90A8-0670630C7DA4}"/>
    <hyperlink ref="N50" location="'Måltall og kostnadsestimering'!B20" display="Nødvendig bemanning for perioden og kostnader for perioden" xr:uid="{8ED9EBCA-594F-45E4-8D13-A1E9781172C6}"/>
    <hyperlink ref="D52" location="'Måltall og kostnadsestimering'!B41" display="vis" xr:uid="{44475CFF-821E-42EC-A997-568AE7D11284}"/>
    <hyperlink ref="M57" location="'Faktisk antall brukere'!A1" display="Faktisk antall brukere" xr:uid="{A34963D5-E80A-4D86-BBF4-FA3A69A78772}"/>
    <hyperlink ref="F65" location="Fakturering!C5" display="vis" xr:uid="{59321AC7-070A-4971-A532-CEB8A53EEA6F}"/>
    <hyperlink ref="O62" location="'Fakturerbart antall brukere'!A1" display="Fakturerbart antall brukere" xr:uid="{6CC30512-E0CC-4294-9177-7DCB7548223F}"/>
    <hyperlink ref="H68" location="Fakturering!C7" display="vis" xr:uid="{78369132-461E-4FFE-A138-9346BD965401}"/>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5701B-6329-47FE-BEC1-5DEF9A178C0C}">
  <dimension ref="B2:G30"/>
  <sheetViews>
    <sheetView showGridLines="0" workbookViewId="0"/>
  </sheetViews>
  <sheetFormatPr defaultRowHeight="14.4" x14ac:dyDescent="0.3"/>
  <cols>
    <col min="1" max="1" width="2.77734375" customWidth="1"/>
    <col min="2" max="2" width="36.6640625" customWidth="1"/>
    <col min="3" max="3" width="15.77734375" customWidth="1"/>
    <col min="4" max="4" width="6.5546875" customWidth="1"/>
    <col min="5" max="5" width="15.33203125" customWidth="1"/>
    <col min="6" max="6" width="15.77734375" customWidth="1"/>
    <col min="7" max="7" width="133.21875" customWidth="1"/>
  </cols>
  <sheetData>
    <row r="2" spans="2:7" ht="22.8" x14ac:dyDescent="0.4">
      <c r="B2" s="118" t="s">
        <v>76</v>
      </c>
    </row>
    <row r="3" spans="2:7" x14ac:dyDescent="0.3">
      <c r="B3" s="88" t="s">
        <v>68</v>
      </c>
    </row>
    <row r="4" spans="2:7" x14ac:dyDescent="0.3">
      <c r="B4" s="106" t="s">
        <v>30</v>
      </c>
      <c r="C4" s="89">
        <v>80</v>
      </c>
      <c r="E4" s="22"/>
    </row>
    <row r="5" spans="2:7" ht="28.8" x14ac:dyDescent="0.3">
      <c r="B5" s="106" t="s">
        <v>31</v>
      </c>
      <c r="C5" s="90">
        <v>0.1</v>
      </c>
    </row>
    <row r="6" spans="2:7" ht="28.8" x14ac:dyDescent="0.3">
      <c r="B6" s="106" t="s">
        <v>42</v>
      </c>
      <c r="C6" s="79">
        <f>C4/(1+C5)</f>
        <v>72.72727272727272</v>
      </c>
    </row>
    <row r="7" spans="2:7" x14ac:dyDescent="0.3">
      <c r="B7" s="13" t="s">
        <v>15</v>
      </c>
      <c r="C7" s="90">
        <v>3.5000000000000003E-2</v>
      </c>
    </row>
    <row r="8" spans="2:7" ht="19.8" x14ac:dyDescent="0.4">
      <c r="B8" s="7" t="s">
        <v>1</v>
      </c>
      <c r="C8" t="s">
        <v>14</v>
      </c>
    </row>
    <row r="9" spans="2:7" ht="28.8" x14ac:dyDescent="0.3">
      <c r="B9" s="8" t="s">
        <v>9</v>
      </c>
      <c r="C9" s="9" t="s">
        <v>10</v>
      </c>
      <c r="D9" s="10" t="s">
        <v>2</v>
      </c>
      <c r="E9" s="9" t="s">
        <v>39</v>
      </c>
      <c r="F9" s="14" t="s">
        <v>11</v>
      </c>
      <c r="G9" s="65" t="s">
        <v>58</v>
      </c>
    </row>
    <row r="10" spans="2:7" x14ac:dyDescent="0.3">
      <c r="B10" s="11" t="s">
        <v>3</v>
      </c>
      <c r="C10" s="4"/>
      <c r="D10" s="4"/>
      <c r="E10" s="4"/>
      <c r="F10" s="15"/>
      <c r="G10" s="66"/>
    </row>
    <row r="11" spans="2:7" x14ac:dyDescent="0.3">
      <c r="B11" s="120" t="s">
        <v>109</v>
      </c>
      <c r="C11" s="4"/>
      <c r="D11" s="4"/>
      <c r="E11" s="4"/>
      <c r="F11" s="15"/>
      <c r="G11" s="66"/>
    </row>
    <row r="12" spans="2:7" x14ac:dyDescent="0.3">
      <c r="B12" s="13" t="s">
        <v>4</v>
      </c>
      <c r="C12" s="91">
        <v>800000</v>
      </c>
      <c r="D12" s="12" t="s">
        <v>7</v>
      </c>
      <c r="E12" s="40">
        <f>IFERROR('Måltall og kostnadsestimering'!$O$26,0)</f>
        <v>1.7221875000000002</v>
      </c>
      <c r="F12" s="16">
        <f>IFERROR('Måltall og kostnadsestimering'!P29,0)</f>
        <v>1377750</v>
      </c>
      <c r="G12" s="67" t="s">
        <v>108</v>
      </c>
    </row>
    <row r="13" spans="2:7" x14ac:dyDescent="0.3">
      <c r="C13" s="39"/>
    </row>
    <row r="14" spans="2:7" x14ac:dyDescent="0.3">
      <c r="B14" s="121" t="s">
        <v>110</v>
      </c>
      <c r="C14" s="39"/>
      <c r="D14" s="12"/>
      <c r="E14" s="40"/>
      <c r="F14" s="39"/>
      <c r="G14" s="39"/>
    </row>
    <row r="15" spans="2:7" x14ac:dyDescent="0.3">
      <c r="B15" s="13" t="s">
        <v>13</v>
      </c>
      <c r="C15" s="91">
        <v>40000</v>
      </c>
      <c r="D15" s="12" t="s">
        <v>7</v>
      </c>
      <c r="E15" s="40"/>
      <c r="F15" s="16"/>
      <c r="G15" s="67" t="s">
        <v>67</v>
      </c>
    </row>
    <row r="16" spans="2:7" x14ac:dyDescent="0.3">
      <c r="B16" s="121"/>
      <c r="C16" s="91"/>
      <c r="D16" s="12"/>
      <c r="E16" s="40" t="str">
        <f>IF(ISBLANK(C16),"",IFERROR('Måltall og kostnadsestimering'!$O$26,0))</f>
        <v/>
      </c>
      <c r="F16" s="39"/>
      <c r="G16" s="39"/>
    </row>
    <row r="17" spans="2:7" x14ac:dyDescent="0.3">
      <c r="B17" s="121" t="s">
        <v>111</v>
      </c>
      <c r="C17" s="122">
        <f>SUM(C15:C16)</f>
        <v>40000</v>
      </c>
      <c r="D17" s="123" t="s">
        <v>7</v>
      </c>
      <c r="E17" s="124">
        <f>IFERROR('Måltall og kostnadsestimering'!$O$26,0)</f>
        <v>1.7221875000000002</v>
      </c>
      <c r="F17" s="16">
        <f>IFERROR('Måltall og kostnadsestimering'!$P$30,0)</f>
        <v>68887.500000000015</v>
      </c>
      <c r="G17" s="67" t="s">
        <v>112</v>
      </c>
    </row>
    <row r="18" spans="2:7" x14ac:dyDescent="0.3">
      <c r="B18" s="121"/>
      <c r="C18" s="39"/>
      <c r="D18" s="12"/>
      <c r="E18" s="40"/>
      <c r="F18" s="39"/>
      <c r="G18" s="39"/>
    </row>
    <row r="19" spans="2:7" x14ac:dyDescent="0.3">
      <c r="B19" s="121" t="s">
        <v>113</v>
      </c>
      <c r="C19" s="39"/>
      <c r="D19" s="12"/>
      <c r="E19" s="40"/>
      <c r="F19" s="39"/>
      <c r="G19" s="39"/>
    </row>
    <row r="20" spans="2:7" x14ac:dyDescent="0.3">
      <c r="B20" s="13" t="s">
        <v>6</v>
      </c>
      <c r="C20" s="91">
        <v>1000000</v>
      </c>
      <c r="D20" s="12" t="s">
        <v>7</v>
      </c>
      <c r="E20" s="92">
        <v>0.1</v>
      </c>
      <c r="F20" s="16">
        <f>IFERROR(C20*E20,0)</f>
        <v>100000</v>
      </c>
      <c r="G20" s="67" t="s">
        <v>60</v>
      </c>
    </row>
    <row r="21" spans="2:7" x14ac:dyDescent="0.3">
      <c r="B21" s="13" t="s">
        <v>5</v>
      </c>
      <c r="C21" s="91">
        <v>0</v>
      </c>
      <c r="D21" s="12" t="s">
        <v>8</v>
      </c>
      <c r="E21" s="92"/>
      <c r="F21" s="16">
        <f>C21*E21</f>
        <v>0</v>
      </c>
      <c r="G21" s="67" t="s">
        <v>59</v>
      </c>
    </row>
    <row r="22" spans="2:7" x14ac:dyDescent="0.3">
      <c r="B22" s="13"/>
      <c r="C22" s="91"/>
      <c r="D22" s="12"/>
      <c r="E22" s="92"/>
      <c r="F22" s="16">
        <f>C22*E22</f>
        <v>0</v>
      </c>
      <c r="G22" s="67"/>
    </row>
    <row r="23" spans="2:7" x14ac:dyDescent="0.3">
      <c r="B23" s="13" t="s">
        <v>114</v>
      </c>
      <c r="C23" s="39"/>
      <c r="D23" s="12"/>
      <c r="E23" s="80"/>
      <c r="F23" s="41">
        <f>SUM(F20:F22)</f>
        <v>100000</v>
      </c>
      <c r="G23" s="67" t="s">
        <v>115</v>
      </c>
    </row>
    <row r="24" spans="2:7" x14ac:dyDescent="0.3">
      <c r="E24" s="40"/>
    </row>
    <row r="25" spans="2:7" x14ac:dyDescent="0.3">
      <c r="B25" s="13"/>
      <c r="C25" s="39"/>
      <c r="D25" s="12"/>
      <c r="E25" s="40"/>
      <c r="F25" s="16"/>
      <c r="G25" s="67"/>
    </row>
    <row r="26" spans="2:7" x14ac:dyDescent="0.3">
      <c r="B26" s="13"/>
      <c r="C26" s="39"/>
      <c r="D26" s="12"/>
      <c r="E26" s="80"/>
      <c r="F26" s="16"/>
      <c r="G26" s="67"/>
    </row>
    <row r="27" spans="2:7" x14ac:dyDescent="0.3">
      <c r="B27" s="6" t="s">
        <v>12</v>
      </c>
      <c r="C27" s="6"/>
      <c r="D27" s="6"/>
      <c r="E27" s="6"/>
      <c r="F27" s="17">
        <f>'Måltall og kostnadsestimering'!P32</f>
        <v>1546637.5000000005</v>
      </c>
      <c r="G27" s="68"/>
    </row>
    <row r="28" spans="2:7" x14ac:dyDescent="0.3">
      <c r="F28" s="5"/>
      <c r="G28" s="69"/>
    </row>
    <row r="29" spans="2:7" x14ac:dyDescent="0.3">
      <c r="B29" s="13" t="s">
        <v>15</v>
      </c>
      <c r="C29" s="39"/>
      <c r="D29" s="12"/>
      <c r="E29" s="40"/>
      <c r="F29" s="41">
        <f>'Måltall og kostnadsestimering'!P33</f>
        <v>54132.312500000029</v>
      </c>
      <c r="G29" s="70"/>
    </row>
    <row r="30" spans="2:7" x14ac:dyDescent="0.3">
      <c r="B30" s="11" t="s">
        <v>46</v>
      </c>
      <c r="C30" s="42"/>
      <c r="D30" s="4"/>
      <c r="E30" s="43"/>
      <c r="F30" s="44">
        <f>F27+F29</f>
        <v>1600769.8125000005</v>
      </c>
      <c r="G30" s="71"/>
    </row>
  </sheetData>
  <pageMargins left="0.7" right="0.7" top="0.75" bottom="0.75" header="0.3" footer="0.3"/>
  <pageSetup paperSize="9" orientation="portrait" r:id="rId1"/>
  <ignoredErrors>
    <ignoredError sqref="E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BE43E-E93E-4A7E-A805-C6E36F390F2F}">
  <dimension ref="B1:Q42"/>
  <sheetViews>
    <sheetView showGridLines="0" workbookViewId="0"/>
  </sheetViews>
  <sheetFormatPr defaultRowHeight="14.4" x14ac:dyDescent="0.3"/>
  <cols>
    <col min="1" max="1" width="2.77734375" customWidth="1"/>
    <col min="2" max="2" width="36" customWidth="1"/>
    <col min="3" max="3" width="12.109375" customWidth="1"/>
    <col min="4" max="14" width="10.77734375" customWidth="1"/>
    <col min="15" max="15" width="22.88671875" customWidth="1"/>
    <col min="16" max="16" width="16.44140625" customWidth="1"/>
    <col min="17" max="17" width="24" customWidth="1"/>
  </cols>
  <sheetData>
    <row r="1" spans="2:17" x14ac:dyDescent="0.3">
      <c r="B1" s="3" t="s">
        <v>49</v>
      </c>
    </row>
    <row r="2" spans="2:17" ht="22.8" x14ac:dyDescent="0.4">
      <c r="B2" s="118" t="s">
        <v>48</v>
      </c>
    </row>
    <row r="3" spans="2:17" x14ac:dyDescent="0.3">
      <c r="B3" s="88" t="s">
        <v>57</v>
      </c>
    </row>
    <row r="4" spans="2:17" x14ac:dyDescent="0.3">
      <c r="C4" s="127" t="s">
        <v>61</v>
      </c>
      <c r="D4" s="128"/>
      <c r="E4" s="128"/>
      <c r="F4" s="128"/>
      <c r="G4" s="128"/>
      <c r="H4" s="128"/>
      <c r="I4" s="128"/>
      <c r="J4" s="128"/>
      <c r="K4" s="128"/>
      <c r="L4" s="128"/>
      <c r="M4" s="128"/>
      <c r="N4" s="129"/>
    </row>
    <row r="5" spans="2:17" ht="28.8" x14ac:dyDescent="0.3">
      <c r="B5" s="107" t="s">
        <v>0</v>
      </c>
      <c r="C5" s="108" t="s">
        <v>16</v>
      </c>
      <c r="D5" s="109" t="s">
        <v>17</v>
      </c>
      <c r="E5" s="109" t="s">
        <v>18</v>
      </c>
      <c r="F5" s="109" t="s">
        <v>19</v>
      </c>
      <c r="G5" s="109" t="s">
        <v>20</v>
      </c>
      <c r="H5" s="109" t="s">
        <v>21</v>
      </c>
      <c r="I5" s="109" t="s">
        <v>22</v>
      </c>
      <c r="J5" s="109" t="s">
        <v>23</v>
      </c>
      <c r="K5" s="109" t="s">
        <v>24</v>
      </c>
      <c r="L5" s="109" t="s">
        <v>25</v>
      </c>
      <c r="M5" s="109" t="s">
        <v>26</v>
      </c>
      <c r="N5" s="110" t="s">
        <v>27</v>
      </c>
      <c r="O5" s="111" t="s">
        <v>50</v>
      </c>
      <c r="P5" s="111" t="s">
        <v>33</v>
      </c>
      <c r="Q5" s="112" t="s">
        <v>32</v>
      </c>
    </row>
    <row r="6" spans="2:17" x14ac:dyDescent="0.3">
      <c r="B6" s="93" t="s">
        <v>77</v>
      </c>
      <c r="C6" s="94">
        <v>10</v>
      </c>
      <c r="D6" s="95">
        <v>11</v>
      </c>
      <c r="E6" s="95">
        <v>12</v>
      </c>
      <c r="F6" s="95">
        <v>13</v>
      </c>
      <c r="G6" s="95">
        <v>14</v>
      </c>
      <c r="H6" s="95">
        <v>15</v>
      </c>
      <c r="I6" s="95">
        <v>16</v>
      </c>
      <c r="J6" s="95">
        <v>17</v>
      </c>
      <c r="K6" s="95">
        <v>18</v>
      </c>
      <c r="L6" s="95">
        <v>19</v>
      </c>
      <c r="M6" s="95">
        <v>20</v>
      </c>
      <c r="N6" s="95">
        <v>21</v>
      </c>
      <c r="O6" s="3">
        <f>SUM(Table_Måltall[[#This Row],[jan.25]:[des.25]])</f>
        <v>186</v>
      </c>
      <c r="P6" s="21">
        <f>IFERROR(Table_Måltall[[#This Row],[Summen av måltall per måned for perioden]]/Table_Måltall[[#This Row],[Antall aktive måneder for bruk av tjenesten]],"")</f>
        <v>15.5</v>
      </c>
      <c r="Q6" s="63">
        <f>COUNTIF(Table_Måltall[[#This Row],[jan.25]:[des.25]],"&gt;0")</f>
        <v>12</v>
      </c>
    </row>
    <row r="7" spans="2:17" x14ac:dyDescent="0.3">
      <c r="B7" s="93" t="s">
        <v>78</v>
      </c>
      <c r="C7" s="94">
        <v>10</v>
      </c>
      <c r="D7" s="95">
        <v>10</v>
      </c>
      <c r="E7" s="95">
        <v>10</v>
      </c>
      <c r="F7" s="95">
        <v>10</v>
      </c>
      <c r="G7" s="95">
        <v>10</v>
      </c>
      <c r="H7" s="95">
        <v>10</v>
      </c>
      <c r="I7" s="95">
        <v>10</v>
      </c>
      <c r="J7" s="95">
        <v>10</v>
      </c>
      <c r="K7" s="95">
        <v>10</v>
      </c>
      <c r="L7" s="95">
        <v>10</v>
      </c>
      <c r="M7" s="95">
        <v>10</v>
      </c>
      <c r="N7" s="95">
        <v>10</v>
      </c>
      <c r="O7" s="3">
        <f>SUM(Table_Måltall[[#This Row],[jan.25]:[des.25]])</f>
        <v>120</v>
      </c>
      <c r="P7" s="21">
        <f>IFERROR(Table_Måltall[[#This Row],[Summen av måltall per måned for perioden]]/Table_Måltall[[#This Row],[Antall aktive måneder for bruk av tjenesten]],"")</f>
        <v>10</v>
      </c>
      <c r="Q7" s="63">
        <f>COUNTIF(Table_Måltall[[#This Row],[jan.25]:[des.25]],"&gt;0")</f>
        <v>12</v>
      </c>
    </row>
    <row r="8" spans="2:17" x14ac:dyDescent="0.3">
      <c r="B8" s="93" t="s">
        <v>79</v>
      </c>
      <c r="C8" s="94">
        <v>6</v>
      </c>
      <c r="D8" s="95">
        <v>6</v>
      </c>
      <c r="E8" s="95">
        <v>6</v>
      </c>
      <c r="F8" s="95">
        <v>6</v>
      </c>
      <c r="G8" s="95">
        <v>6</v>
      </c>
      <c r="H8" s="95">
        <v>6</v>
      </c>
      <c r="I8" s="95">
        <v>6</v>
      </c>
      <c r="J8" s="95">
        <v>6</v>
      </c>
      <c r="K8" s="95">
        <v>6</v>
      </c>
      <c r="L8" s="95">
        <v>6</v>
      </c>
      <c r="M8" s="95">
        <v>6</v>
      </c>
      <c r="N8" s="96">
        <v>6</v>
      </c>
      <c r="O8" s="3">
        <f>SUM(Table_Måltall[[#This Row],[jan.25]:[des.25]])</f>
        <v>72</v>
      </c>
      <c r="P8" s="21">
        <f>IFERROR(Table_Måltall[[#This Row],[Summen av måltall per måned for perioden]]/Table_Måltall[[#This Row],[Antall aktive måneder for bruk av tjenesten]],"")</f>
        <v>6</v>
      </c>
      <c r="Q8" s="63">
        <f>COUNTIF(Table_Måltall[[#This Row],[jan.25]:[des.25]],"&gt;0")</f>
        <v>12</v>
      </c>
    </row>
    <row r="9" spans="2:17" x14ac:dyDescent="0.3">
      <c r="B9" s="93" t="s">
        <v>80</v>
      </c>
      <c r="C9" s="94">
        <v>9</v>
      </c>
      <c r="D9" s="95">
        <v>9</v>
      </c>
      <c r="E9" s="95">
        <v>9</v>
      </c>
      <c r="F9" s="95">
        <v>9</v>
      </c>
      <c r="G9" s="95">
        <v>9</v>
      </c>
      <c r="H9" s="95">
        <v>9</v>
      </c>
      <c r="I9" s="95">
        <v>9</v>
      </c>
      <c r="J9" s="95">
        <v>9</v>
      </c>
      <c r="K9" s="95">
        <v>9</v>
      </c>
      <c r="L9" s="95">
        <v>9</v>
      </c>
      <c r="M9" s="95">
        <v>9</v>
      </c>
      <c r="N9" s="96">
        <v>9</v>
      </c>
      <c r="O9" s="3">
        <f>SUM(Table_Måltall[[#This Row],[jan.25]:[des.25]])</f>
        <v>108</v>
      </c>
      <c r="P9" s="21">
        <f>IFERROR(Table_Måltall[[#This Row],[Summen av måltall per måned for perioden]]/Table_Måltall[[#This Row],[Antall aktive måneder for bruk av tjenesten]],"")</f>
        <v>9</v>
      </c>
      <c r="Q9" s="63">
        <f>COUNTIF(Table_Måltall[[#This Row],[jan.25]:[des.25]],"&gt;0")</f>
        <v>12</v>
      </c>
    </row>
    <row r="10" spans="2:17" x14ac:dyDescent="0.3">
      <c r="B10" s="93" t="s">
        <v>81</v>
      </c>
      <c r="C10" s="94">
        <v>6</v>
      </c>
      <c r="D10" s="95">
        <v>6</v>
      </c>
      <c r="E10" s="95">
        <v>6</v>
      </c>
      <c r="F10" s="95">
        <v>6</v>
      </c>
      <c r="G10" s="95">
        <v>6</v>
      </c>
      <c r="H10" s="95">
        <v>6</v>
      </c>
      <c r="I10" s="95">
        <v>6</v>
      </c>
      <c r="J10" s="95">
        <v>6</v>
      </c>
      <c r="K10" s="95">
        <v>6</v>
      </c>
      <c r="L10" s="95">
        <v>6</v>
      </c>
      <c r="M10" s="95">
        <v>6</v>
      </c>
      <c r="N10" s="96">
        <v>6</v>
      </c>
      <c r="O10" s="3">
        <f>SUM(Table_Måltall[[#This Row],[jan.25]:[des.25]])</f>
        <v>72</v>
      </c>
      <c r="P10" s="21">
        <f>IFERROR(Table_Måltall[[#This Row],[Summen av måltall per måned for perioden]]/Table_Måltall[[#This Row],[Antall aktive måneder for bruk av tjenesten]],"")</f>
        <v>6</v>
      </c>
      <c r="Q10" s="63">
        <f>COUNTIF(Table_Måltall[[#This Row],[jan.25]:[des.25]],"&gt;0")</f>
        <v>12</v>
      </c>
    </row>
    <row r="11" spans="2:17" x14ac:dyDescent="0.3">
      <c r="B11" s="93" t="s">
        <v>82</v>
      </c>
      <c r="C11" s="94">
        <v>22</v>
      </c>
      <c r="D11" s="95">
        <v>22</v>
      </c>
      <c r="E11" s="95">
        <v>22</v>
      </c>
      <c r="F11" s="95">
        <v>22</v>
      </c>
      <c r="G11" s="95">
        <v>22</v>
      </c>
      <c r="H11" s="95">
        <v>22</v>
      </c>
      <c r="I11" s="95">
        <v>22</v>
      </c>
      <c r="J11" s="95">
        <v>22</v>
      </c>
      <c r="K11" s="95">
        <v>22</v>
      </c>
      <c r="L11" s="95">
        <v>22</v>
      </c>
      <c r="M11" s="95">
        <v>22</v>
      </c>
      <c r="N11" s="96">
        <v>22</v>
      </c>
      <c r="O11" s="3">
        <f>SUM(Table_Måltall[[#This Row],[jan.25]:[des.25]])</f>
        <v>264</v>
      </c>
      <c r="P11" s="21">
        <f>IFERROR(Table_Måltall[[#This Row],[Summen av måltall per måned for perioden]]/Table_Måltall[[#This Row],[Antall aktive måneder for bruk av tjenesten]],"")</f>
        <v>22</v>
      </c>
      <c r="Q11" s="63">
        <f>COUNTIF(Table_Måltall[[#This Row],[jan.25]:[des.25]],"&gt;0")</f>
        <v>12</v>
      </c>
    </row>
    <row r="12" spans="2:17" x14ac:dyDescent="0.3">
      <c r="B12" s="93" t="s">
        <v>83</v>
      </c>
      <c r="C12" s="94">
        <v>8</v>
      </c>
      <c r="D12" s="95">
        <v>8</v>
      </c>
      <c r="E12" s="95">
        <v>8</v>
      </c>
      <c r="F12" s="95">
        <v>8</v>
      </c>
      <c r="G12" s="95">
        <v>8</v>
      </c>
      <c r="H12" s="95">
        <v>8</v>
      </c>
      <c r="I12" s="95">
        <v>8</v>
      </c>
      <c r="J12" s="95">
        <v>8</v>
      </c>
      <c r="K12" s="95">
        <v>8</v>
      </c>
      <c r="L12" s="95">
        <v>8</v>
      </c>
      <c r="M12" s="95">
        <v>8</v>
      </c>
      <c r="N12" s="96">
        <v>8</v>
      </c>
      <c r="O12" s="3">
        <f>SUM(Table_Måltall[[#This Row],[jan.25]:[des.25]])</f>
        <v>96</v>
      </c>
      <c r="P12" s="21">
        <f>IFERROR(Table_Måltall[[#This Row],[Summen av måltall per måned for perioden]]/Table_Måltall[[#This Row],[Antall aktive måneder for bruk av tjenesten]],"")</f>
        <v>8</v>
      </c>
      <c r="Q12" s="63">
        <f>COUNTIF(Table_Måltall[[#This Row],[jan.25]:[des.25]],"&gt;0")</f>
        <v>12</v>
      </c>
    </row>
    <row r="13" spans="2:17" x14ac:dyDescent="0.3">
      <c r="B13" s="93" t="s">
        <v>84</v>
      </c>
      <c r="C13" s="94">
        <v>12</v>
      </c>
      <c r="D13" s="95">
        <v>12</v>
      </c>
      <c r="E13" s="95">
        <v>12</v>
      </c>
      <c r="F13" s="95">
        <v>12</v>
      </c>
      <c r="G13" s="95">
        <v>12</v>
      </c>
      <c r="H13" s="95">
        <v>12</v>
      </c>
      <c r="I13" s="95">
        <v>12</v>
      </c>
      <c r="J13" s="95">
        <v>12</v>
      </c>
      <c r="K13" s="95">
        <v>12</v>
      </c>
      <c r="L13" s="95">
        <v>12</v>
      </c>
      <c r="M13" s="95">
        <v>12</v>
      </c>
      <c r="N13" s="96">
        <v>12</v>
      </c>
      <c r="O13" s="3">
        <f>SUM(Table_Måltall[[#This Row],[jan.25]:[des.25]])</f>
        <v>144</v>
      </c>
      <c r="P13" s="21">
        <f>IFERROR(Table_Måltall[[#This Row],[Summen av måltall per måned for perioden]]/Table_Måltall[[#This Row],[Antall aktive måneder for bruk av tjenesten]],"")</f>
        <v>12</v>
      </c>
      <c r="Q13" s="63">
        <f>COUNTIF(Table_Måltall[[#This Row],[jan.25]:[des.25]],"&gt;0")</f>
        <v>12</v>
      </c>
    </row>
    <row r="14" spans="2:17" x14ac:dyDescent="0.3">
      <c r="B14" s="93" t="s">
        <v>85</v>
      </c>
      <c r="C14" s="94">
        <v>15</v>
      </c>
      <c r="D14" s="95">
        <v>15</v>
      </c>
      <c r="E14" s="95">
        <v>15</v>
      </c>
      <c r="F14" s="95">
        <v>15</v>
      </c>
      <c r="G14" s="95">
        <v>15</v>
      </c>
      <c r="H14" s="95">
        <v>15</v>
      </c>
      <c r="I14" s="95">
        <v>15</v>
      </c>
      <c r="J14" s="95">
        <v>15</v>
      </c>
      <c r="K14" s="95">
        <v>15</v>
      </c>
      <c r="L14" s="95">
        <v>15</v>
      </c>
      <c r="M14" s="95">
        <v>15</v>
      </c>
      <c r="N14" s="96">
        <v>15</v>
      </c>
      <c r="O14" s="3">
        <f>SUM(Table_Måltall[[#This Row],[jan.25]:[des.25]])</f>
        <v>180</v>
      </c>
      <c r="P14" s="21">
        <f>IFERROR(Table_Måltall[[#This Row],[Summen av måltall per måned for perioden]]/Table_Måltall[[#This Row],[Antall aktive måneder for bruk av tjenesten]],"")</f>
        <v>15</v>
      </c>
      <c r="Q14" s="63">
        <f>COUNTIF(Table_Måltall[[#This Row],[jan.25]:[des.25]],"&gt;0")</f>
        <v>12</v>
      </c>
    </row>
    <row r="15" spans="2:17" x14ac:dyDescent="0.3">
      <c r="B15" s="93" t="s">
        <v>86</v>
      </c>
      <c r="C15" s="94"/>
      <c r="D15" s="95"/>
      <c r="E15" s="97">
        <v>10</v>
      </c>
      <c r="F15" s="97">
        <v>15</v>
      </c>
      <c r="G15" s="97">
        <v>20</v>
      </c>
      <c r="H15" s="97">
        <v>20</v>
      </c>
      <c r="I15" s="97">
        <v>20</v>
      </c>
      <c r="J15" s="97">
        <v>20</v>
      </c>
      <c r="K15" s="97">
        <v>20</v>
      </c>
      <c r="L15" s="97">
        <v>20</v>
      </c>
      <c r="M15" s="97">
        <v>20</v>
      </c>
      <c r="N15" s="98">
        <v>20</v>
      </c>
      <c r="O15" s="3">
        <f>SUM(Table_Måltall[[#This Row],[jan.25]:[des.25]])</f>
        <v>185</v>
      </c>
      <c r="P15" s="24">
        <f>IFERROR(Table_Måltall[[#This Row],[Summen av måltall per måned for perioden]]/Table_Måltall[[#This Row],[Antall aktive måneder for bruk av tjenesten]],"")</f>
        <v>18.5</v>
      </c>
      <c r="Q15" s="63">
        <f>COUNTIF(Table_Måltall[[#This Row],[jan.25]:[des.25]],"&gt;0")</f>
        <v>10</v>
      </c>
    </row>
    <row r="16" spans="2:17" x14ac:dyDescent="0.3">
      <c r="B16" s="93" t="s">
        <v>87</v>
      </c>
      <c r="C16" s="100"/>
      <c r="D16" s="97"/>
      <c r="E16" s="97"/>
      <c r="F16" s="97"/>
      <c r="G16" s="97"/>
      <c r="H16" s="97">
        <v>5</v>
      </c>
      <c r="I16" s="97">
        <v>5</v>
      </c>
      <c r="J16" s="97">
        <v>5</v>
      </c>
      <c r="K16" s="97">
        <v>5</v>
      </c>
      <c r="L16" s="97">
        <v>5</v>
      </c>
      <c r="M16" s="97">
        <v>5</v>
      </c>
      <c r="N16" s="98">
        <v>5</v>
      </c>
      <c r="O16" s="3">
        <f>SUM(Table_Måltall[[#This Row],[jan.25]:[des.25]])</f>
        <v>35</v>
      </c>
      <c r="P16" s="24">
        <f>IFERROR(Table_Måltall[[#This Row],[Summen av måltall per måned for perioden]]/Table_Måltall[[#This Row],[Antall aktive måneder for bruk av tjenesten]],"")</f>
        <v>5</v>
      </c>
      <c r="Q16" s="63">
        <f>COUNTIF(Table_Måltall[[#This Row],[jan.25]:[des.25]],"&gt;0")</f>
        <v>7</v>
      </c>
    </row>
    <row r="17" spans="2:17" x14ac:dyDescent="0.3">
      <c r="B17" s="93" t="s">
        <v>88</v>
      </c>
      <c r="C17" s="100"/>
      <c r="D17" s="97"/>
      <c r="E17" s="97"/>
      <c r="F17" s="97"/>
      <c r="G17" s="97"/>
      <c r="H17" s="97"/>
      <c r="I17" s="97"/>
      <c r="J17" s="97">
        <v>5</v>
      </c>
      <c r="K17" s="97">
        <v>5</v>
      </c>
      <c r="L17" s="97">
        <v>5</v>
      </c>
      <c r="M17" s="97">
        <v>5</v>
      </c>
      <c r="N17" s="98">
        <v>5</v>
      </c>
      <c r="O17" s="3">
        <f>SUM(Table_Måltall[[#This Row],[jan.25]:[des.25]])</f>
        <v>25</v>
      </c>
      <c r="P17" s="24">
        <f>IFERROR(Table_Måltall[[#This Row],[Summen av måltall per måned for perioden]]/Table_Måltall[[#This Row],[Antall aktive måneder for bruk av tjenesten]],"")</f>
        <v>5</v>
      </c>
      <c r="Q17" s="63">
        <f>COUNTIF(Table_Måltall[[#This Row],[jan.25]:[des.25]],"&gt;0")</f>
        <v>5</v>
      </c>
    </row>
    <row r="18" spans="2:17" ht="15" thickBot="1" x14ac:dyDescent="0.35">
      <c r="B18" s="105" t="s">
        <v>89</v>
      </c>
      <c r="C18" s="101"/>
      <c r="D18" s="102"/>
      <c r="E18" s="102"/>
      <c r="F18" s="102"/>
      <c r="G18" s="102"/>
      <c r="H18" s="102"/>
      <c r="I18" s="102"/>
      <c r="J18" s="102"/>
      <c r="K18" s="102"/>
      <c r="L18" s="102">
        <v>5</v>
      </c>
      <c r="M18" s="102">
        <v>6</v>
      </c>
      <c r="N18" s="103">
        <v>5</v>
      </c>
      <c r="O18" s="3">
        <f>SUM(Table_Måltall[[#This Row],[jan.25]:[des.25]])</f>
        <v>16</v>
      </c>
      <c r="P18" s="24">
        <f>IFERROR(Table_Måltall[[#This Row],[Summen av måltall per måned for perioden]]/Table_Måltall[[#This Row],[Antall aktive måneder for bruk av tjenesten]],"")</f>
        <v>5.333333333333333</v>
      </c>
      <c r="Q18" s="64">
        <f>COUNTIF(Table_Måltall[[#This Row],[jan.25]:[des.25]],"&gt;0")</f>
        <v>3</v>
      </c>
    </row>
    <row r="19" spans="2:17" x14ac:dyDescent="0.3">
      <c r="B19" s="23"/>
    </row>
    <row r="20" spans="2:17" ht="22.8" x14ac:dyDescent="0.4">
      <c r="B20" s="118" t="s">
        <v>38</v>
      </c>
    </row>
    <row r="22" spans="2:17" ht="28.8" x14ac:dyDescent="0.3">
      <c r="B22" s="36"/>
      <c r="C22" s="37" t="s">
        <v>16</v>
      </c>
      <c r="D22" s="37" t="s">
        <v>17</v>
      </c>
      <c r="E22" s="37" t="s">
        <v>18</v>
      </c>
      <c r="F22" s="37" t="s">
        <v>19</v>
      </c>
      <c r="G22" s="37" t="s">
        <v>20</v>
      </c>
      <c r="H22" s="37" t="s">
        <v>21</v>
      </c>
      <c r="I22" s="37" t="s">
        <v>22</v>
      </c>
      <c r="J22" s="37" t="s">
        <v>23</v>
      </c>
      <c r="K22" s="37" t="s">
        <v>24</v>
      </c>
      <c r="L22" s="37" t="s">
        <v>25</v>
      </c>
      <c r="M22" s="37" t="s">
        <v>26</v>
      </c>
      <c r="N22" s="37" t="s">
        <v>27</v>
      </c>
      <c r="O22" s="38" t="s">
        <v>41</v>
      </c>
      <c r="P22" s="38" t="s">
        <v>56</v>
      </c>
    </row>
    <row r="23" spans="2:17" x14ac:dyDescent="0.3">
      <c r="B23" s="27" t="s">
        <v>34</v>
      </c>
      <c r="C23" s="35">
        <f>SUM(Table_Måltall[jan.25])</f>
        <v>98</v>
      </c>
      <c r="D23" s="35">
        <f>SUM(Table_Måltall[feb.25])</f>
        <v>99</v>
      </c>
      <c r="E23" s="35">
        <f>SUM(Table_Måltall[mar.25])</f>
        <v>110</v>
      </c>
      <c r="F23" s="35">
        <f>SUM(Table_Måltall[apr.25])</f>
        <v>116</v>
      </c>
      <c r="G23" s="35">
        <f>SUM(Table_Måltall[mai.25])</f>
        <v>122</v>
      </c>
      <c r="H23" s="35">
        <f>SUM(Table_Måltall[jun.25])</f>
        <v>128</v>
      </c>
      <c r="I23" s="35">
        <f>SUM(Table_Måltall[jul.25])</f>
        <v>129</v>
      </c>
      <c r="J23" s="35">
        <f>SUM(Table_Måltall[aug.25])</f>
        <v>135</v>
      </c>
      <c r="K23" s="35">
        <f>SUM(Table_Måltall[sep.25])</f>
        <v>136</v>
      </c>
      <c r="L23" s="35">
        <f>SUM(Table_Måltall[okt.25])</f>
        <v>142</v>
      </c>
      <c r="M23" s="35">
        <f>SUM(Table_Måltall[nov.25])</f>
        <v>144</v>
      </c>
      <c r="N23" s="35">
        <f>SUM(Table_Måltall[des.25])</f>
        <v>144</v>
      </c>
      <c r="O23" s="28"/>
      <c r="P23" s="83">
        <f>SUM(Table_Måltall[Summen av måltall per måned for perioden])</f>
        <v>1503</v>
      </c>
    </row>
    <row r="24" spans="2:17" ht="4.8" customHeight="1" x14ac:dyDescent="0.3">
      <c r="B24" s="23"/>
      <c r="C24" s="22"/>
      <c r="D24" s="22"/>
      <c r="E24" s="22"/>
      <c r="F24" s="22"/>
      <c r="G24" s="22"/>
      <c r="H24" s="22"/>
      <c r="I24" s="22"/>
      <c r="J24" s="22"/>
      <c r="K24" s="22"/>
      <c r="L24" s="22"/>
      <c r="M24" s="22"/>
      <c r="N24" s="22"/>
    </row>
    <row r="25" spans="2:17" x14ac:dyDescent="0.3">
      <c r="B25" s="58" t="s">
        <v>51</v>
      </c>
      <c r="C25" s="22"/>
      <c r="D25" s="22"/>
      <c r="E25" s="22"/>
      <c r="F25" s="22"/>
      <c r="G25" s="22"/>
      <c r="H25" s="22"/>
      <c r="I25" s="22"/>
      <c r="J25" s="22"/>
      <c r="K25" s="22"/>
      <c r="L25" s="22"/>
      <c r="M25" s="22"/>
      <c r="N25" s="22"/>
    </row>
    <row r="26" spans="2:17" x14ac:dyDescent="0.3">
      <c r="B26" t="s">
        <v>35</v>
      </c>
      <c r="C26" s="55">
        <f>C23/Kostnadsoversikt!$C$6</f>
        <v>1.3475000000000001</v>
      </c>
      <c r="D26" s="55">
        <f>D23/Kostnadsoversikt!$C$6</f>
        <v>1.3612500000000001</v>
      </c>
      <c r="E26" s="55">
        <f>E23/Kostnadsoversikt!$C$6</f>
        <v>1.5125000000000002</v>
      </c>
      <c r="F26" s="55">
        <f>F23/Kostnadsoversikt!$C$6</f>
        <v>1.5950000000000002</v>
      </c>
      <c r="G26" s="55">
        <f>G23/Kostnadsoversikt!$C$6</f>
        <v>1.6775000000000002</v>
      </c>
      <c r="H26" s="55">
        <f>H23/Kostnadsoversikt!$C$6</f>
        <v>1.7600000000000002</v>
      </c>
      <c r="I26" s="55">
        <f>I23/Kostnadsoversikt!$C$6</f>
        <v>1.7737500000000002</v>
      </c>
      <c r="J26" s="55">
        <f>J23/Kostnadsoversikt!$C$6</f>
        <v>1.8562500000000002</v>
      </c>
      <c r="K26" s="55">
        <f>K23/Kostnadsoversikt!$C$6</f>
        <v>1.87</v>
      </c>
      <c r="L26" s="55">
        <f>L23/Kostnadsoversikt!$C$6</f>
        <v>1.9525000000000001</v>
      </c>
      <c r="M26" s="55">
        <f>M23/Kostnadsoversikt!$C$6</f>
        <v>1.9800000000000002</v>
      </c>
      <c r="N26" s="55">
        <f>N23/Kostnadsoversikt!$C$6</f>
        <v>1.9800000000000002</v>
      </c>
      <c r="O26" s="29">
        <f t="shared" ref="O26:O32" si="0">AVERAGE(C26:N26)</f>
        <v>1.7221875000000002</v>
      </c>
      <c r="P26" s="29"/>
    </row>
    <row r="27" spans="2:17" ht="16.2" customHeight="1" x14ac:dyDescent="0.3">
      <c r="C27" s="55"/>
      <c r="D27" s="55"/>
      <c r="E27" s="55"/>
      <c r="F27" s="55"/>
      <c r="G27" s="55"/>
      <c r="H27" s="55"/>
      <c r="I27" s="55"/>
      <c r="J27" s="55"/>
      <c r="K27" s="55"/>
      <c r="L27" s="55"/>
      <c r="M27" s="55"/>
      <c r="N27" s="55"/>
      <c r="O27" s="29"/>
      <c r="P27" s="29"/>
    </row>
    <row r="28" spans="2:17" x14ac:dyDescent="0.3">
      <c r="B28" s="3" t="s">
        <v>52</v>
      </c>
      <c r="C28" s="55"/>
      <c r="D28" s="55"/>
      <c r="E28" s="55"/>
      <c r="F28" s="55"/>
      <c r="G28" s="55"/>
      <c r="H28" s="55"/>
      <c r="I28" s="55"/>
      <c r="J28" s="55"/>
      <c r="K28" s="55"/>
      <c r="L28" s="55"/>
      <c r="M28" s="55"/>
      <c r="N28" s="55"/>
      <c r="O28" s="29"/>
      <c r="P28" s="29"/>
    </row>
    <row r="29" spans="2:17" x14ac:dyDescent="0.3">
      <c r="B29" s="28" t="s">
        <v>36</v>
      </c>
      <c r="C29" s="31">
        <f>C26*Kostnadsoversikt!$C$12/12</f>
        <v>89833.333333333328</v>
      </c>
      <c r="D29" s="31">
        <f>D26*Kostnadsoversikt!$C$12/12</f>
        <v>90750</v>
      </c>
      <c r="E29" s="31">
        <f>E26*Kostnadsoversikt!$C$12/12</f>
        <v>100833.33333333336</v>
      </c>
      <c r="F29" s="31">
        <f>F26*Kostnadsoversikt!$C$12/12</f>
        <v>106333.33333333336</v>
      </c>
      <c r="G29" s="31">
        <f>G26*Kostnadsoversikt!$C$12/12</f>
        <v>111833.33333333336</v>
      </c>
      <c r="H29" s="31">
        <f>H26*Kostnadsoversikt!$C$12/12</f>
        <v>117333.33333333336</v>
      </c>
      <c r="I29" s="31">
        <f>I26*Kostnadsoversikt!$C$12/12</f>
        <v>118250.00000000001</v>
      </c>
      <c r="J29" s="31">
        <f>J26*Kostnadsoversikt!$C$12/12</f>
        <v>123750.00000000001</v>
      </c>
      <c r="K29" s="31">
        <f>K26*Kostnadsoversikt!$C$12/12</f>
        <v>124666.66666666667</v>
      </c>
      <c r="L29" s="31">
        <f>L26*Kostnadsoversikt!$C$12/12</f>
        <v>130166.66666666667</v>
      </c>
      <c r="M29" s="31">
        <f>M26*Kostnadsoversikt!$C$12/12</f>
        <v>132000.00000000003</v>
      </c>
      <c r="N29" s="31">
        <f>N26*Kostnadsoversikt!$C$12/12</f>
        <v>132000.00000000003</v>
      </c>
      <c r="O29" s="31">
        <f t="shared" si="0"/>
        <v>114812.5</v>
      </c>
      <c r="P29" s="45">
        <f>SUM(C29:N29)</f>
        <v>1377750</v>
      </c>
    </row>
    <row r="30" spans="2:17" x14ac:dyDescent="0.3">
      <c r="B30" t="s">
        <v>13</v>
      </c>
      <c r="C30" s="30">
        <f>C26*Kostnadsoversikt!$C$17/12</f>
        <v>4491.666666666667</v>
      </c>
      <c r="D30" s="30">
        <f>D26*Kostnadsoversikt!$C$17/12</f>
        <v>4537.5</v>
      </c>
      <c r="E30" s="30">
        <f>E26*Kostnadsoversikt!$C$17/12</f>
        <v>5041.666666666667</v>
      </c>
      <c r="F30" s="30">
        <f>F26*Kostnadsoversikt!$C$17/12</f>
        <v>5316.666666666667</v>
      </c>
      <c r="G30" s="30">
        <f>G26*Kostnadsoversikt!$C$17/12</f>
        <v>5591.6666666666679</v>
      </c>
      <c r="H30" s="30">
        <f>H26*Kostnadsoversikt!$C$17/12</f>
        <v>5866.6666666666679</v>
      </c>
      <c r="I30" s="30">
        <f>I26*Kostnadsoversikt!$C$17/12</f>
        <v>5912.5</v>
      </c>
      <c r="J30" s="30">
        <f>J26*Kostnadsoversikt!$C$17/12</f>
        <v>6187.5</v>
      </c>
      <c r="K30" s="30">
        <f>K26*Kostnadsoversikt!$C$17/12</f>
        <v>6233.333333333333</v>
      </c>
      <c r="L30" s="30">
        <f>L26*Kostnadsoversikt!$C$17/12</f>
        <v>6508.333333333333</v>
      </c>
      <c r="M30" s="30">
        <f>M26*Kostnadsoversikt!$C$17/12</f>
        <v>6600.0000000000009</v>
      </c>
      <c r="N30" s="30">
        <f>N26*Kostnadsoversikt!$C$17/12</f>
        <v>6600.0000000000009</v>
      </c>
      <c r="O30" s="30">
        <f t="shared" si="0"/>
        <v>5740.6250000000009</v>
      </c>
      <c r="P30" s="26">
        <f t="shared" ref="P30:P31" si="1">SUM(C30:N30)</f>
        <v>68887.500000000015</v>
      </c>
    </row>
    <row r="31" spans="2:17" x14ac:dyDescent="0.3">
      <c r="B31" s="28" t="s">
        <v>6</v>
      </c>
      <c r="C31" s="31">
        <f>Kostnadsoversikt!$F$23/12</f>
        <v>8333.3333333333339</v>
      </c>
      <c r="D31" s="31">
        <f>Kostnadsoversikt!$F$23/12</f>
        <v>8333.3333333333339</v>
      </c>
      <c r="E31" s="31">
        <f>Kostnadsoversikt!$F$23/12</f>
        <v>8333.3333333333339</v>
      </c>
      <c r="F31" s="31">
        <f>Kostnadsoversikt!$F$23/12</f>
        <v>8333.3333333333339</v>
      </c>
      <c r="G31" s="31">
        <f>Kostnadsoversikt!$F$23/12</f>
        <v>8333.3333333333339</v>
      </c>
      <c r="H31" s="31">
        <f>Kostnadsoversikt!$F$23/12</f>
        <v>8333.3333333333339</v>
      </c>
      <c r="I31" s="31">
        <f>Kostnadsoversikt!$F$23/12</f>
        <v>8333.3333333333339</v>
      </c>
      <c r="J31" s="31">
        <f>Kostnadsoversikt!$F$23/12</f>
        <v>8333.3333333333339</v>
      </c>
      <c r="K31" s="31">
        <f>Kostnadsoversikt!$F$23/12</f>
        <v>8333.3333333333339</v>
      </c>
      <c r="L31" s="31">
        <f>Kostnadsoversikt!$F$23/12</f>
        <v>8333.3333333333339</v>
      </c>
      <c r="M31" s="31">
        <f>Kostnadsoversikt!$F$23/12</f>
        <v>8333.3333333333339</v>
      </c>
      <c r="N31" s="31">
        <f>Kostnadsoversikt!$F$23/12</f>
        <v>8333.3333333333339</v>
      </c>
      <c r="O31" s="31">
        <f t="shared" si="0"/>
        <v>8333.3333333333321</v>
      </c>
      <c r="P31" s="45">
        <f t="shared" si="1"/>
        <v>99999.999999999985</v>
      </c>
    </row>
    <row r="32" spans="2:17" x14ac:dyDescent="0.3">
      <c r="B32" s="47" t="s">
        <v>37</v>
      </c>
      <c r="C32" s="48">
        <f>SUM(C29:C31)</f>
        <v>102658.33333333333</v>
      </c>
      <c r="D32" s="48">
        <f t="shared" ref="D32:N32" si="2">SUM(D29:D31)</f>
        <v>103620.83333333333</v>
      </c>
      <c r="E32" s="48">
        <f t="shared" si="2"/>
        <v>114208.33333333336</v>
      </c>
      <c r="F32" s="48">
        <f t="shared" si="2"/>
        <v>119983.33333333336</v>
      </c>
      <c r="G32" s="48">
        <f t="shared" si="2"/>
        <v>125758.33333333336</v>
      </c>
      <c r="H32" s="48">
        <f t="shared" si="2"/>
        <v>131533.33333333337</v>
      </c>
      <c r="I32" s="48">
        <f t="shared" si="2"/>
        <v>132495.83333333334</v>
      </c>
      <c r="J32" s="48">
        <f t="shared" si="2"/>
        <v>138270.83333333334</v>
      </c>
      <c r="K32" s="48">
        <f t="shared" si="2"/>
        <v>139233.33333333334</v>
      </c>
      <c r="L32" s="48">
        <f t="shared" si="2"/>
        <v>145008.33333333334</v>
      </c>
      <c r="M32" s="48">
        <f t="shared" si="2"/>
        <v>146933.33333333337</v>
      </c>
      <c r="N32" s="48">
        <f t="shared" si="2"/>
        <v>146933.33333333337</v>
      </c>
      <c r="O32" s="48">
        <f t="shared" si="0"/>
        <v>128886.45833333337</v>
      </c>
      <c r="P32" s="48">
        <f t="shared" ref="P32:P38" si="3">SUM(C32:N32)</f>
        <v>1546637.5000000005</v>
      </c>
    </row>
    <row r="33" spans="2:17" x14ac:dyDescent="0.3">
      <c r="B33" s="49" t="s">
        <v>43</v>
      </c>
      <c r="C33" s="50">
        <f>C32*Kostnadsoversikt!$C$7</f>
        <v>3593.041666666667</v>
      </c>
      <c r="D33" s="50">
        <f>D32*Kostnadsoversikt!$C$7</f>
        <v>3626.729166666667</v>
      </c>
      <c r="E33" s="50">
        <f>E32*Kostnadsoversikt!$C$7</f>
        <v>3997.2916666666679</v>
      </c>
      <c r="F33" s="50">
        <f>F32*Kostnadsoversikt!$C$7</f>
        <v>4199.4166666666679</v>
      </c>
      <c r="G33" s="50">
        <f>G32*Kostnadsoversikt!$C$7</f>
        <v>4401.5416666666679</v>
      </c>
      <c r="H33" s="50">
        <f>H32*Kostnadsoversikt!$C$7</f>
        <v>4603.6666666666688</v>
      </c>
      <c r="I33" s="50">
        <f>I32*Kostnadsoversikt!$C$7</f>
        <v>4637.3541666666679</v>
      </c>
      <c r="J33" s="50">
        <f>J32*Kostnadsoversikt!$C$7</f>
        <v>4839.4791666666679</v>
      </c>
      <c r="K33" s="50">
        <f>K32*Kostnadsoversikt!$C$7</f>
        <v>4873.1666666666679</v>
      </c>
      <c r="L33" s="50">
        <f>L32*Kostnadsoversikt!$C$7</f>
        <v>5075.2916666666679</v>
      </c>
      <c r="M33" s="50">
        <f>M32*Kostnadsoversikt!$C$7</f>
        <v>5142.6666666666688</v>
      </c>
      <c r="N33" s="50">
        <f>N32*Kostnadsoversikt!$C$7</f>
        <v>5142.6666666666688</v>
      </c>
      <c r="O33" s="50">
        <f>AVERAGE(C33:N33)</f>
        <v>4511.0260416666688</v>
      </c>
      <c r="P33" s="50">
        <f t="shared" si="3"/>
        <v>54132.312500000029</v>
      </c>
    </row>
    <row r="34" spans="2:17" x14ac:dyDescent="0.3">
      <c r="B34" s="46" t="s">
        <v>45</v>
      </c>
      <c r="C34" s="51">
        <f>C32+C33</f>
        <v>106251.375</v>
      </c>
      <c r="D34" s="51">
        <f t="shared" ref="D34:N34" si="4">D32+D33</f>
        <v>107247.5625</v>
      </c>
      <c r="E34" s="51">
        <f t="shared" si="4"/>
        <v>118205.62500000003</v>
      </c>
      <c r="F34" s="51">
        <f t="shared" si="4"/>
        <v>124182.75000000003</v>
      </c>
      <c r="G34" s="51">
        <f t="shared" si="4"/>
        <v>130159.87500000003</v>
      </c>
      <c r="H34" s="51">
        <f t="shared" si="4"/>
        <v>136137.00000000003</v>
      </c>
      <c r="I34" s="51">
        <f t="shared" si="4"/>
        <v>137133.1875</v>
      </c>
      <c r="J34" s="51">
        <f t="shared" si="4"/>
        <v>143110.3125</v>
      </c>
      <c r="K34" s="51">
        <f t="shared" si="4"/>
        <v>144106.5</v>
      </c>
      <c r="L34" s="51">
        <f t="shared" si="4"/>
        <v>150083.625</v>
      </c>
      <c r="M34" s="51">
        <f t="shared" si="4"/>
        <v>152076.00000000003</v>
      </c>
      <c r="N34" s="51">
        <f t="shared" si="4"/>
        <v>152076.00000000003</v>
      </c>
      <c r="O34" s="51">
        <f>AVERAGE(C34:N34)</f>
        <v>133397.484375</v>
      </c>
      <c r="P34" s="51">
        <f t="shared" si="3"/>
        <v>1600769.8125</v>
      </c>
      <c r="Q34" s="56"/>
    </row>
    <row r="35" spans="2:17" ht="4.95" customHeight="1" x14ac:dyDescent="0.3">
      <c r="B35" s="3"/>
      <c r="C35" s="26"/>
      <c r="D35" s="26"/>
      <c r="E35" s="26"/>
      <c r="F35" s="26"/>
      <c r="G35" s="26"/>
      <c r="H35" s="26"/>
      <c r="I35" s="26"/>
      <c r="J35" s="26"/>
      <c r="K35" s="26"/>
      <c r="L35" s="26"/>
      <c r="M35" s="26"/>
      <c r="N35" s="26"/>
      <c r="O35" s="26"/>
      <c r="P35" s="26"/>
      <c r="Q35" s="56"/>
    </row>
    <row r="36" spans="2:17" x14ac:dyDescent="0.3">
      <c r="B36" s="3" t="s">
        <v>53</v>
      </c>
      <c r="C36" s="26"/>
      <c r="D36" s="26"/>
      <c r="E36" s="26"/>
      <c r="F36" s="26"/>
      <c r="G36" s="26"/>
      <c r="H36" s="26"/>
      <c r="I36" s="26"/>
      <c r="J36" s="26"/>
      <c r="K36" s="26"/>
      <c r="L36" s="26"/>
      <c r="M36" s="26"/>
      <c r="N36" s="26"/>
      <c r="O36" s="26"/>
      <c r="P36" s="26"/>
      <c r="Q36" s="56"/>
    </row>
    <row r="37" spans="2:17" x14ac:dyDescent="0.3">
      <c r="B37" s="32" t="s">
        <v>40</v>
      </c>
      <c r="C37" s="33">
        <f>IFERROR(C32/C23,"")</f>
        <v>1047.5340136054422</v>
      </c>
      <c r="D37" s="33">
        <f t="shared" ref="D37:N37" si="5">IFERROR(D32/D23,"")</f>
        <v>1046.6750841750841</v>
      </c>
      <c r="E37" s="33">
        <f t="shared" si="5"/>
        <v>1038.257575757576</v>
      </c>
      <c r="F37" s="33">
        <f t="shared" si="5"/>
        <v>1034.3390804597702</v>
      </c>
      <c r="G37" s="33">
        <f t="shared" si="5"/>
        <v>1030.806010928962</v>
      </c>
      <c r="H37" s="33">
        <f t="shared" si="5"/>
        <v>1027.604166666667</v>
      </c>
      <c r="I37" s="33">
        <f t="shared" si="5"/>
        <v>1027.0994832041345</v>
      </c>
      <c r="J37" s="33">
        <f t="shared" si="5"/>
        <v>1024.2283950617284</v>
      </c>
      <c r="K37" s="33">
        <f t="shared" si="5"/>
        <v>1023.7745098039217</v>
      </c>
      <c r="L37" s="33">
        <f t="shared" si="5"/>
        <v>1021.1854460093897</v>
      </c>
      <c r="M37" s="33">
        <f t="shared" si="5"/>
        <v>1020.3703703703707</v>
      </c>
      <c r="N37" s="33">
        <f t="shared" si="5"/>
        <v>1020.3703703703707</v>
      </c>
      <c r="O37" s="33">
        <f>IFERROR(AVERAGE(C37:N37),"")</f>
        <v>1030.1870422011179</v>
      </c>
      <c r="P37" s="34">
        <f t="shared" si="3"/>
        <v>12362.244506413415</v>
      </c>
    </row>
    <row r="38" spans="2:17" ht="13.95" customHeight="1" x14ac:dyDescent="0.3">
      <c r="B38" t="s">
        <v>47</v>
      </c>
      <c r="C38" s="25">
        <f>IFERROR(C37*Kostnadsoversikt!$C$7,"")</f>
        <v>36.663690476190482</v>
      </c>
      <c r="D38" s="25">
        <f>IFERROR(D37*Kostnadsoversikt!$C$7,"")</f>
        <v>36.633627946127945</v>
      </c>
      <c r="E38" s="25">
        <f>IFERROR(E37*Kostnadsoversikt!$C$7,"")</f>
        <v>36.339015151515163</v>
      </c>
      <c r="F38" s="25">
        <f>IFERROR(F37*Kostnadsoversikt!$C$7,"")</f>
        <v>36.201867816091962</v>
      </c>
      <c r="G38" s="25">
        <f>IFERROR(G37*Kostnadsoversikt!$C$7,"")</f>
        <v>36.078210382513674</v>
      </c>
      <c r="H38" s="25">
        <f>IFERROR(H37*Kostnadsoversikt!$C$7,"")</f>
        <v>35.96614583333335</v>
      </c>
      <c r="I38" s="25">
        <f>IFERROR(I37*Kostnadsoversikt!$C$7,"")</f>
        <v>35.948481912144707</v>
      </c>
      <c r="J38" s="25">
        <f>IFERROR(J37*Kostnadsoversikt!$C$7,"")</f>
        <v>35.847993827160501</v>
      </c>
      <c r="K38" s="25">
        <f>IFERROR(K37*Kostnadsoversikt!$C$7,"")</f>
        <v>35.832107843137258</v>
      </c>
      <c r="L38" s="25">
        <f>IFERROR(L37*Kostnadsoversikt!$C$7,"")</f>
        <v>35.74149061032864</v>
      </c>
      <c r="M38" s="25">
        <f>IFERROR(M37*Kostnadsoversikt!$C$7,"")</f>
        <v>35.712962962962976</v>
      </c>
      <c r="N38" s="25">
        <f>IFERROR(N37*Kostnadsoversikt!$C$7,"")</f>
        <v>35.712962962962976</v>
      </c>
      <c r="O38" s="18">
        <f>IFERROR(AVERAGE(C38:N38),"")</f>
        <v>36.056546477039134</v>
      </c>
      <c r="P38" s="48">
        <f t="shared" si="3"/>
        <v>432.67855772446961</v>
      </c>
    </row>
    <row r="39" spans="2:17" x14ac:dyDescent="0.3">
      <c r="B39" s="46" t="s">
        <v>44</v>
      </c>
      <c r="C39" s="52">
        <f>IFERROR(C37+C38,"")</f>
        <v>1084.1977040816328</v>
      </c>
      <c r="D39" s="52">
        <f t="shared" ref="D39:N39" si="6">IFERROR(D37+D38,"")</f>
        <v>1083.308712121212</v>
      </c>
      <c r="E39" s="52">
        <f t="shared" si="6"/>
        <v>1074.5965909090912</v>
      </c>
      <c r="F39" s="52">
        <f t="shared" si="6"/>
        <v>1070.5409482758621</v>
      </c>
      <c r="G39" s="52">
        <f t="shared" si="6"/>
        <v>1066.8842213114756</v>
      </c>
      <c r="H39" s="52">
        <f t="shared" si="6"/>
        <v>1063.5703125000002</v>
      </c>
      <c r="I39" s="52">
        <f t="shared" si="6"/>
        <v>1063.0479651162791</v>
      </c>
      <c r="J39" s="52">
        <f t="shared" si="6"/>
        <v>1060.0763888888889</v>
      </c>
      <c r="K39" s="52">
        <f t="shared" si="6"/>
        <v>1059.606617647059</v>
      </c>
      <c r="L39" s="52">
        <f t="shared" si="6"/>
        <v>1056.9269366197184</v>
      </c>
      <c r="M39" s="52">
        <f t="shared" si="6"/>
        <v>1056.0833333333337</v>
      </c>
      <c r="N39" s="52">
        <f t="shared" si="6"/>
        <v>1056.0833333333337</v>
      </c>
      <c r="O39" s="51">
        <f>IFERROR(P34/P23,"")</f>
        <v>1065.0497754491018</v>
      </c>
      <c r="P39" s="51">
        <f>IFERROR(P34/P23*12,0)</f>
        <v>12780.597305389223</v>
      </c>
    </row>
    <row r="40" spans="2:17" ht="15" thickBot="1" x14ac:dyDescent="0.35">
      <c r="C40" s="25"/>
      <c r="D40" s="25"/>
      <c r="E40" s="25"/>
      <c r="F40" s="25"/>
      <c r="G40" s="25"/>
      <c r="H40" s="25"/>
      <c r="I40" s="25"/>
      <c r="J40" s="25"/>
      <c r="K40" s="25"/>
      <c r="L40" s="25"/>
      <c r="M40" s="25"/>
      <c r="N40" s="25"/>
      <c r="O40" s="56"/>
      <c r="P40" s="25"/>
    </row>
    <row r="41" spans="2:17" ht="29.4" thickBot="1" x14ac:dyDescent="0.35">
      <c r="B41" s="59" t="s">
        <v>54</v>
      </c>
      <c r="C41" s="60">
        <f>O39</f>
        <v>1065.0497754491018</v>
      </c>
      <c r="D41" s="61" t="s">
        <v>55</v>
      </c>
      <c r="E41" s="62"/>
      <c r="F41" s="57"/>
      <c r="G41" s="57"/>
      <c r="H41" s="57"/>
      <c r="I41" s="57"/>
      <c r="J41" s="57"/>
      <c r="K41" s="57"/>
      <c r="L41" s="57"/>
      <c r="M41" s="57"/>
      <c r="N41" s="57"/>
      <c r="O41" s="25"/>
    </row>
    <row r="42" spans="2:17" x14ac:dyDescent="0.3">
      <c r="O42" s="56"/>
    </row>
  </sheetData>
  <mergeCells count="1">
    <mergeCell ref="C4:N4"/>
  </mergeCells>
  <phoneticPr fontId="10"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E56A9-5AD4-4BB2-B294-689F2DF9AFA8}">
  <dimension ref="B2:Q21"/>
  <sheetViews>
    <sheetView showGridLines="0" workbookViewId="0">
      <selection activeCell="K19" sqref="K19"/>
    </sheetView>
  </sheetViews>
  <sheetFormatPr defaultRowHeight="14.4" x14ac:dyDescent="0.3"/>
  <cols>
    <col min="1" max="1" width="2.77734375" customWidth="1"/>
    <col min="2" max="2" width="17.44140625" customWidth="1"/>
    <col min="3" max="14" width="10.77734375" customWidth="1"/>
    <col min="15" max="15" width="16.21875" customWidth="1"/>
    <col min="16" max="16" width="11.5546875" bestFit="1" customWidth="1"/>
  </cols>
  <sheetData>
    <row r="2" spans="2:17" ht="22.8" x14ac:dyDescent="0.4">
      <c r="B2" s="118" t="s">
        <v>75</v>
      </c>
      <c r="Q2" s="23"/>
    </row>
    <row r="3" spans="2:17" x14ac:dyDescent="0.3">
      <c r="B3" s="73" t="s">
        <v>66</v>
      </c>
      <c r="Q3" s="23"/>
    </row>
    <row r="4" spans="2:17" ht="19.95" customHeight="1" x14ac:dyDescent="0.3">
      <c r="B4" s="88" t="s">
        <v>57</v>
      </c>
    </row>
    <row r="5" spans="2:17" ht="19.95" customHeight="1" x14ac:dyDescent="0.3">
      <c r="C5" s="127" t="s">
        <v>93</v>
      </c>
      <c r="D5" s="128"/>
      <c r="E5" s="128"/>
      <c r="F5" s="128"/>
      <c r="G5" s="128"/>
      <c r="H5" s="128"/>
      <c r="I5" s="128"/>
      <c r="J5" s="128"/>
      <c r="K5" s="128"/>
      <c r="L5" s="128"/>
      <c r="M5" s="128"/>
      <c r="N5" s="129"/>
    </row>
    <row r="6" spans="2:17" x14ac:dyDescent="0.3">
      <c r="B6" s="107" t="s">
        <v>0</v>
      </c>
      <c r="C6" s="109" t="s">
        <v>16</v>
      </c>
      <c r="D6" s="109" t="s">
        <v>17</v>
      </c>
      <c r="E6" s="109" t="s">
        <v>18</v>
      </c>
      <c r="F6" s="109" t="s">
        <v>19</v>
      </c>
      <c r="G6" s="109" t="s">
        <v>20</v>
      </c>
      <c r="H6" s="109" t="s">
        <v>21</v>
      </c>
      <c r="I6" s="109" t="s">
        <v>22</v>
      </c>
      <c r="J6" s="109" t="s">
        <v>23</v>
      </c>
      <c r="K6" s="109" t="s">
        <v>24</v>
      </c>
      <c r="L6" s="109" t="s">
        <v>25</v>
      </c>
      <c r="M6" s="109" t="s">
        <v>26</v>
      </c>
      <c r="N6" s="109" t="s">
        <v>27</v>
      </c>
      <c r="O6" s="113" t="s">
        <v>28</v>
      </c>
      <c r="P6" s="113" t="s">
        <v>29</v>
      </c>
    </row>
    <row r="7" spans="2:17" ht="16.05" customHeight="1" x14ac:dyDescent="0.3">
      <c r="B7" s="93" t="s">
        <v>77</v>
      </c>
      <c r="C7" s="94">
        <v>8</v>
      </c>
      <c r="D7" s="95">
        <v>10</v>
      </c>
      <c r="E7" s="95">
        <v>12</v>
      </c>
      <c r="F7" s="95">
        <v>12</v>
      </c>
      <c r="G7" s="95">
        <v>12</v>
      </c>
      <c r="H7" s="95">
        <v>12</v>
      </c>
      <c r="I7" s="95">
        <v>15</v>
      </c>
      <c r="J7" s="95">
        <v>15</v>
      </c>
      <c r="K7" s="95">
        <v>15</v>
      </c>
      <c r="L7" s="95">
        <v>18</v>
      </c>
      <c r="M7" s="95">
        <v>20</v>
      </c>
      <c r="N7" s="95">
        <v>21</v>
      </c>
      <c r="O7" s="3">
        <f>SUM(Table_Faktisk_antall_brukere[[#This Row],[jan.25]:[des.25]])</f>
        <v>170</v>
      </c>
      <c r="P7" s="21">
        <f>IFERROR(Table_Faktisk_antall_brukere[[#This Row],[Totalt 2025]]/COUNTIF(Table_Faktisk_antall_brukere[[#This Row],[jan.25]:[des.25]],"&gt;0"),"")</f>
        <v>14.166666666666666</v>
      </c>
    </row>
    <row r="8" spans="2:17" ht="16.05" customHeight="1" x14ac:dyDescent="0.3">
      <c r="B8" s="93" t="s">
        <v>78</v>
      </c>
      <c r="C8" s="94">
        <v>10</v>
      </c>
      <c r="D8" s="95">
        <v>10</v>
      </c>
      <c r="E8" s="95">
        <v>10</v>
      </c>
      <c r="F8" s="95">
        <v>10</v>
      </c>
      <c r="G8" s="95">
        <v>10</v>
      </c>
      <c r="H8" s="95">
        <v>10</v>
      </c>
      <c r="I8" s="95">
        <v>10</v>
      </c>
      <c r="J8" s="95">
        <v>10</v>
      </c>
      <c r="K8" s="95">
        <v>10</v>
      </c>
      <c r="L8" s="95">
        <v>10</v>
      </c>
      <c r="M8" s="95">
        <v>10</v>
      </c>
      <c r="N8" s="95">
        <v>10</v>
      </c>
      <c r="O8" s="3">
        <f>SUM(Table_Faktisk_antall_brukere[[#This Row],[jan.25]:[des.25]])</f>
        <v>120</v>
      </c>
      <c r="P8" s="21">
        <f>IFERROR(Table_Faktisk_antall_brukere[[#This Row],[Totalt 2025]]/COUNTIF(Table_Faktisk_antall_brukere[[#This Row],[jan.25]:[des.25]],"&gt;0"),"")</f>
        <v>10</v>
      </c>
    </row>
    <row r="9" spans="2:17" ht="16.05" customHeight="1" x14ac:dyDescent="0.3">
      <c r="B9" s="93" t="s">
        <v>79</v>
      </c>
      <c r="C9" s="94">
        <v>6</v>
      </c>
      <c r="D9" s="95">
        <v>6</v>
      </c>
      <c r="E9" s="95">
        <v>6</v>
      </c>
      <c r="F9" s="95">
        <v>6</v>
      </c>
      <c r="G9" s="95">
        <v>6</v>
      </c>
      <c r="H9" s="95">
        <v>6</v>
      </c>
      <c r="I9" s="95">
        <v>6</v>
      </c>
      <c r="J9" s="95">
        <v>6</v>
      </c>
      <c r="K9" s="95">
        <v>6</v>
      </c>
      <c r="L9" s="95">
        <v>6</v>
      </c>
      <c r="M9" s="95">
        <v>6</v>
      </c>
      <c r="N9" s="96">
        <v>6</v>
      </c>
      <c r="O9" s="3">
        <f>SUM(Table_Faktisk_antall_brukere[[#This Row],[jan.25]:[des.25]])</f>
        <v>72</v>
      </c>
      <c r="P9" s="21">
        <f>IFERROR(Table_Faktisk_antall_brukere[[#This Row],[Totalt 2025]]/COUNTIF(Table_Faktisk_antall_brukere[[#This Row],[jan.25]:[des.25]],"&gt;0"),"")</f>
        <v>6</v>
      </c>
    </row>
    <row r="10" spans="2:17" ht="16.05" customHeight="1" x14ac:dyDescent="0.3">
      <c r="B10" s="93" t="s">
        <v>80</v>
      </c>
      <c r="C10" s="94">
        <v>9</v>
      </c>
      <c r="D10" s="95">
        <v>10</v>
      </c>
      <c r="E10" s="95">
        <v>10</v>
      </c>
      <c r="F10" s="95">
        <v>10</v>
      </c>
      <c r="G10" s="95">
        <v>10</v>
      </c>
      <c r="H10" s="95">
        <v>10</v>
      </c>
      <c r="I10" s="95">
        <v>9</v>
      </c>
      <c r="J10" s="95">
        <v>9</v>
      </c>
      <c r="K10" s="95">
        <v>9</v>
      </c>
      <c r="L10" s="95">
        <v>8</v>
      </c>
      <c r="M10" s="95">
        <v>8</v>
      </c>
      <c r="N10" s="96">
        <v>8</v>
      </c>
      <c r="O10" s="3">
        <f>SUM(Table_Faktisk_antall_brukere[[#This Row],[jan.25]:[des.25]])</f>
        <v>110</v>
      </c>
      <c r="P10" s="21">
        <f>IFERROR(Table_Faktisk_antall_brukere[[#This Row],[Totalt 2025]]/COUNTIF(Table_Faktisk_antall_brukere[[#This Row],[jan.25]:[des.25]],"&gt;0"),"")</f>
        <v>9.1666666666666661</v>
      </c>
    </row>
    <row r="11" spans="2:17" ht="16.05" customHeight="1" x14ac:dyDescent="0.3">
      <c r="B11" s="93" t="s">
        <v>81</v>
      </c>
      <c r="C11" s="94">
        <v>6</v>
      </c>
      <c r="D11" s="95">
        <v>6</v>
      </c>
      <c r="E11" s="95">
        <v>6</v>
      </c>
      <c r="F11" s="95">
        <v>6</v>
      </c>
      <c r="G11" s="95">
        <v>6</v>
      </c>
      <c r="H11" s="95">
        <v>6</v>
      </c>
      <c r="I11" s="95">
        <v>6</v>
      </c>
      <c r="J11" s="95">
        <v>6</v>
      </c>
      <c r="K11" s="95">
        <v>6</v>
      </c>
      <c r="L11" s="95">
        <v>6</v>
      </c>
      <c r="M11" s="95">
        <v>6</v>
      </c>
      <c r="N11" s="96">
        <v>6</v>
      </c>
      <c r="O11" s="3">
        <f>SUM(Table_Faktisk_antall_brukere[[#This Row],[jan.25]:[des.25]])</f>
        <v>72</v>
      </c>
      <c r="P11" s="21">
        <f>IFERROR(Table_Faktisk_antall_brukere[[#This Row],[Totalt 2025]]/COUNTIF(Table_Faktisk_antall_brukere[[#This Row],[jan.25]:[des.25]],"&gt;0"),"")</f>
        <v>6</v>
      </c>
    </row>
    <row r="12" spans="2:17" ht="16.05" customHeight="1" x14ac:dyDescent="0.3">
      <c r="B12" s="93" t="s">
        <v>82</v>
      </c>
      <c r="C12" s="94">
        <v>22</v>
      </c>
      <c r="D12" s="95">
        <v>22</v>
      </c>
      <c r="E12" s="95">
        <v>22</v>
      </c>
      <c r="F12" s="95">
        <v>22</v>
      </c>
      <c r="G12" s="95">
        <v>22</v>
      </c>
      <c r="H12" s="95">
        <v>22</v>
      </c>
      <c r="I12" s="95">
        <v>22</v>
      </c>
      <c r="J12" s="95">
        <v>22</v>
      </c>
      <c r="K12" s="95">
        <v>22</v>
      </c>
      <c r="L12" s="95">
        <v>22</v>
      </c>
      <c r="M12" s="95">
        <v>22</v>
      </c>
      <c r="N12" s="96">
        <v>22</v>
      </c>
      <c r="O12" s="3">
        <f>SUM(Table_Faktisk_antall_brukere[[#This Row],[jan.25]:[des.25]])</f>
        <v>264</v>
      </c>
      <c r="P12" s="21">
        <f>IFERROR(Table_Faktisk_antall_brukere[[#This Row],[Totalt 2025]]/COUNTIF(Table_Faktisk_antall_brukere[[#This Row],[jan.25]:[des.25]],"&gt;0"),"")</f>
        <v>22</v>
      </c>
    </row>
    <row r="13" spans="2:17" ht="16.05" customHeight="1" x14ac:dyDescent="0.3">
      <c r="B13" s="93" t="s">
        <v>83</v>
      </c>
      <c r="C13" s="94">
        <v>8</v>
      </c>
      <c r="D13" s="95">
        <v>8</v>
      </c>
      <c r="E13" s="95">
        <v>8</v>
      </c>
      <c r="F13" s="95">
        <v>8</v>
      </c>
      <c r="G13" s="95">
        <v>8</v>
      </c>
      <c r="H13" s="95">
        <v>8</v>
      </c>
      <c r="I13" s="95">
        <v>8</v>
      </c>
      <c r="J13" s="95">
        <v>8</v>
      </c>
      <c r="K13" s="95">
        <v>8</v>
      </c>
      <c r="L13" s="95">
        <v>8</v>
      </c>
      <c r="M13" s="95">
        <v>8</v>
      </c>
      <c r="N13" s="96">
        <v>8</v>
      </c>
      <c r="O13" s="3">
        <f>SUM(Table_Faktisk_antall_brukere[[#This Row],[jan.25]:[des.25]])</f>
        <v>96</v>
      </c>
      <c r="P13" s="21">
        <f>IFERROR(Table_Faktisk_antall_brukere[[#This Row],[Totalt 2025]]/COUNTIF(Table_Faktisk_antall_brukere[[#This Row],[jan.25]:[des.25]],"&gt;0"),"")</f>
        <v>8</v>
      </c>
    </row>
    <row r="14" spans="2:17" ht="16.05" customHeight="1" x14ac:dyDescent="0.3">
      <c r="B14" s="93" t="s">
        <v>84</v>
      </c>
      <c r="C14" s="94">
        <v>12</v>
      </c>
      <c r="D14" s="95">
        <v>12</v>
      </c>
      <c r="E14" s="95">
        <v>12</v>
      </c>
      <c r="F14" s="95">
        <v>12</v>
      </c>
      <c r="G14" s="95">
        <v>12</v>
      </c>
      <c r="H14" s="95">
        <v>12</v>
      </c>
      <c r="I14" s="95">
        <v>12</v>
      </c>
      <c r="J14" s="95">
        <v>12</v>
      </c>
      <c r="K14" s="95">
        <v>12</v>
      </c>
      <c r="L14" s="95">
        <v>12</v>
      </c>
      <c r="M14" s="95">
        <v>12</v>
      </c>
      <c r="N14" s="96">
        <v>12</v>
      </c>
      <c r="O14" s="3">
        <f>SUM(Table_Faktisk_antall_brukere[[#This Row],[jan.25]:[des.25]])</f>
        <v>144</v>
      </c>
      <c r="P14" s="21">
        <f>IFERROR(Table_Faktisk_antall_brukere[[#This Row],[Totalt 2025]]/COUNTIF(Table_Faktisk_antall_brukere[[#This Row],[jan.25]:[des.25]],"&gt;0"),"")</f>
        <v>12</v>
      </c>
    </row>
    <row r="15" spans="2:17" ht="16.05" customHeight="1" x14ac:dyDescent="0.3">
      <c r="B15" s="93" t="s">
        <v>85</v>
      </c>
      <c r="C15" s="94">
        <v>15</v>
      </c>
      <c r="D15" s="95">
        <v>15</v>
      </c>
      <c r="E15" s="95">
        <v>15</v>
      </c>
      <c r="F15" s="95">
        <v>15</v>
      </c>
      <c r="G15" s="95">
        <v>15</v>
      </c>
      <c r="H15" s="95">
        <v>15</v>
      </c>
      <c r="I15" s="95">
        <v>15</v>
      </c>
      <c r="J15" s="95">
        <v>15</v>
      </c>
      <c r="K15" s="95">
        <v>15</v>
      </c>
      <c r="L15" s="95">
        <v>15</v>
      </c>
      <c r="M15" s="95">
        <v>15</v>
      </c>
      <c r="N15" s="96">
        <v>15</v>
      </c>
      <c r="O15" s="3">
        <f>SUM(Table_Faktisk_antall_brukere[[#This Row],[jan.25]:[des.25]])</f>
        <v>180</v>
      </c>
      <c r="P15" s="21">
        <f>IFERROR(Table_Faktisk_antall_brukere[[#This Row],[Totalt 2025]]/COUNTIF(Table_Faktisk_antall_brukere[[#This Row],[jan.25]:[des.25]],"&gt;0"),"")</f>
        <v>15</v>
      </c>
    </row>
    <row r="16" spans="2:17" ht="16.05" customHeight="1" x14ac:dyDescent="0.3">
      <c r="B16" s="93" t="s">
        <v>86</v>
      </c>
      <c r="C16" s="94"/>
      <c r="D16" s="95"/>
      <c r="E16" s="97">
        <v>10</v>
      </c>
      <c r="F16" s="97">
        <v>15</v>
      </c>
      <c r="G16" s="97">
        <v>20</v>
      </c>
      <c r="H16" s="97">
        <v>20</v>
      </c>
      <c r="I16" s="97">
        <v>20</v>
      </c>
      <c r="J16" s="97">
        <v>20</v>
      </c>
      <c r="K16" s="97">
        <v>20</v>
      </c>
      <c r="L16" s="97">
        <v>20</v>
      </c>
      <c r="M16" s="97">
        <v>20</v>
      </c>
      <c r="N16" s="98">
        <v>20</v>
      </c>
      <c r="O16" s="3">
        <f>SUM(Table_Faktisk_antall_brukere[[#This Row],[jan.25]:[des.25]])</f>
        <v>185</v>
      </c>
      <c r="P16" s="21">
        <f>IFERROR(Table_Faktisk_antall_brukere[[#This Row],[Totalt 2025]]/COUNTIF(Table_Faktisk_antall_brukere[[#This Row],[jan.25]:[des.25]],"&gt;0"),"")</f>
        <v>18.5</v>
      </c>
    </row>
    <row r="17" spans="2:16" ht="16.05" customHeight="1" x14ac:dyDescent="0.3">
      <c r="B17" s="93" t="s">
        <v>87</v>
      </c>
      <c r="C17" s="100"/>
      <c r="D17" s="97"/>
      <c r="E17" s="97"/>
      <c r="F17" s="97"/>
      <c r="G17" s="97"/>
      <c r="H17" s="97">
        <v>1</v>
      </c>
      <c r="I17" s="97">
        <v>1</v>
      </c>
      <c r="J17" s="97">
        <v>1</v>
      </c>
      <c r="K17" s="97">
        <v>2</v>
      </c>
      <c r="L17" s="97">
        <v>3</v>
      </c>
      <c r="M17" s="97">
        <v>5</v>
      </c>
      <c r="N17" s="98">
        <v>5</v>
      </c>
      <c r="O17" s="3">
        <f>SUM(Table_Faktisk_antall_brukere[[#This Row],[jan.25]:[des.25]])</f>
        <v>18</v>
      </c>
      <c r="P17" s="24">
        <f>IFERROR(Table_Faktisk_antall_brukere[[#This Row],[Totalt 2025]]/COUNTIF(Table_Faktisk_antall_brukere[[#This Row],[jan.25]:[des.25]],"&gt;0"),"")</f>
        <v>2.5714285714285716</v>
      </c>
    </row>
    <row r="18" spans="2:16" ht="16.05" customHeight="1" x14ac:dyDescent="0.3">
      <c r="B18" s="93" t="s">
        <v>88</v>
      </c>
      <c r="C18" s="100"/>
      <c r="D18" s="97"/>
      <c r="E18" s="97"/>
      <c r="F18" s="97"/>
      <c r="G18" s="97"/>
      <c r="H18" s="97"/>
      <c r="I18" s="97"/>
      <c r="J18" s="97">
        <v>1</v>
      </c>
      <c r="K18" s="97">
        <v>4</v>
      </c>
      <c r="L18" s="97">
        <v>4</v>
      </c>
      <c r="M18" s="97">
        <v>5</v>
      </c>
      <c r="N18" s="98">
        <v>5</v>
      </c>
      <c r="O18" s="3">
        <f>SUM(Table_Faktisk_antall_brukere[[#This Row],[jan.25]:[des.25]])</f>
        <v>19</v>
      </c>
      <c r="P18" s="21">
        <f>IFERROR(Table_Faktisk_antall_brukere[[#This Row],[Totalt 2025]]/COUNTIF(Table_Faktisk_antall_brukere[[#This Row],[jan.25]:[des.25]],"&gt;0"),"")</f>
        <v>3.8</v>
      </c>
    </row>
    <row r="19" spans="2:16" ht="16.05" customHeight="1" thickBot="1" x14ac:dyDescent="0.35">
      <c r="B19" s="105" t="s">
        <v>89</v>
      </c>
      <c r="C19" s="101"/>
      <c r="D19" s="102"/>
      <c r="E19" s="102"/>
      <c r="F19" s="102"/>
      <c r="G19" s="102"/>
      <c r="H19" s="102"/>
      <c r="I19" s="102"/>
      <c r="J19" s="102"/>
      <c r="K19" s="102">
        <v>0</v>
      </c>
      <c r="L19" s="102">
        <v>5</v>
      </c>
      <c r="M19" s="102">
        <v>6</v>
      </c>
      <c r="N19" s="103">
        <v>5</v>
      </c>
      <c r="O19" s="3">
        <f>SUM(Table_Faktisk_antall_brukere[[#This Row],[jan.25]:[des.25]])</f>
        <v>16</v>
      </c>
      <c r="P19" s="21">
        <f>IFERROR(Table_Faktisk_antall_brukere[[#This Row],[Totalt 2025]]/COUNTIF(Table_Faktisk_antall_brukere[[#This Row],[jan.25]:[des.25]],"&gt;0"),"")</f>
        <v>5.333333333333333</v>
      </c>
    </row>
    <row r="21" spans="2:16" ht="18" x14ac:dyDescent="0.35">
      <c r="B21" s="1"/>
    </row>
  </sheetData>
  <mergeCells count="1">
    <mergeCell ref="C5:N5"/>
  </mergeCell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45875-5B03-436A-8C30-55B523790292}">
  <dimension ref="B2:P20"/>
  <sheetViews>
    <sheetView showGridLines="0" workbookViewId="0"/>
  </sheetViews>
  <sheetFormatPr defaultRowHeight="14.4" x14ac:dyDescent="0.3"/>
  <cols>
    <col min="1" max="1" width="2.77734375" customWidth="1"/>
    <col min="2" max="2" width="17.44140625" customWidth="1"/>
    <col min="3" max="14" width="10.77734375" customWidth="1"/>
    <col min="15" max="15" width="16.21875" customWidth="1"/>
    <col min="16" max="16" width="11.5546875" bestFit="1" customWidth="1"/>
  </cols>
  <sheetData>
    <row r="2" spans="2:16" ht="22.8" x14ac:dyDescent="0.4">
      <c r="B2" s="118" t="s">
        <v>62</v>
      </c>
    </row>
    <row r="3" spans="2:16" ht="19.95" customHeight="1" x14ac:dyDescent="0.3">
      <c r="B3" s="73" t="s">
        <v>63</v>
      </c>
    </row>
    <row r="4" spans="2:16" ht="19.95" customHeight="1" x14ac:dyDescent="0.3">
      <c r="B4" s="88" t="s">
        <v>57</v>
      </c>
    </row>
    <row r="5" spans="2:16" ht="19.95" customHeight="1" x14ac:dyDescent="0.3">
      <c r="C5" s="127" t="s">
        <v>94</v>
      </c>
      <c r="D5" s="128"/>
      <c r="E5" s="128"/>
      <c r="F5" s="128"/>
      <c r="G5" s="128"/>
      <c r="H5" s="128"/>
      <c r="I5" s="128"/>
      <c r="J5" s="128"/>
      <c r="K5" s="128"/>
      <c r="L5" s="128"/>
      <c r="M5" s="128"/>
      <c r="N5" s="129"/>
    </row>
    <row r="6" spans="2:16" x14ac:dyDescent="0.3">
      <c r="B6" s="114" t="s">
        <v>0</v>
      </c>
      <c r="C6" s="109" t="s">
        <v>16</v>
      </c>
      <c r="D6" s="109" t="s">
        <v>17</v>
      </c>
      <c r="E6" s="109" t="s">
        <v>18</v>
      </c>
      <c r="F6" s="109" t="s">
        <v>19</v>
      </c>
      <c r="G6" s="109" t="s">
        <v>20</v>
      </c>
      <c r="H6" s="109" t="s">
        <v>21</v>
      </c>
      <c r="I6" s="109" t="s">
        <v>22</v>
      </c>
      <c r="J6" s="109" t="s">
        <v>23</v>
      </c>
      <c r="K6" s="109" t="s">
        <v>24</v>
      </c>
      <c r="L6" s="109" t="s">
        <v>25</v>
      </c>
      <c r="M6" s="109" t="s">
        <v>26</v>
      </c>
      <c r="N6" s="109" t="s">
        <v>27</v>
      </c>
      <c r="O6" s="113" t="s">
        <v>28</v>
      </c>
      <c r="P6" s="113" t="s">
        <v>29</v>
      </c>
    </row>
    <row r="7" spans="2:16" ht="16.05" customHeight="1" x14ac:dyDescent="0.3">
      <c r="B7" s="93" t="s">
        <v>77</v>
      </c>
      <c r="C7" s="77">
        <f>IF(_xlfn.IFNA(INDEX(Table_Faktisk_antall_brukere[jan.25],MATCH(Table_Fakturering_antall_brukere[[#This Row],[Kommune]],Table_Faktisk_antall_brukere[Kommune],0)),0)&lt;_xlfn.IFNA(INDEX(Table_Måltall[jan.25],MATCH(Table_Fakturering_antall_brukere[[#This Row],[Kommune]],Table_Måltall[Kommune],0)),0),_xlfn.IFNA(INDEX(Table_Måltall[jan.25],MATCH(Table_Fakturering_antall_brukere[[#This Row],[Kommune]],Table_Måltall[Kommune],0)),0),_xlfn.IFNA(INDEX(Table_Faktisk_antall_brukere[jan.25],MATCH(Table_Fakturering_antall_brukere[[#This Row],[Kommune]],Table_Faktisk_antall_brukere[Kommune],0)),0))</f>
        <v>10</v>
      </c>
      <c r="D7" s="77">
        <f>IF(_xlfn.IFNA(INDEX(Table_Faktisk_antall_brukere[feb.25],MATCH(Table_Fakturering_antall_brukere[[#This Row],[Kommune]],Table_Faktisk_antall_brukere[Kommune],0)),0)&lt;_xlfn.IFNA(INDEX(Table_Måltall[feb.25],MATCH(Table_Fakturering_antall_brukere[[#This Row],[Kommune]],Table_Måltall[Kommune],0)),0),_xlfn.IFNA(INDEX(Table_Måltall[feb.25],MATCH(Table_Fakturering_antall_brukere[[#This Row],[Kommune]],Table_Måltall[Kommune],0)),0),_xlfn.IFNA(INDEX(Table_Faktisk_antall_brukere[feb.25],MATCH(Table_Fakturering_antall_brukere[[#This Row],[Kommune]],Table_Faktisk_antall_brukere[Kommune],0)),0))</f>
        <v>11</v>
      </c>
      <c r="E7" s="77">
        <f>IF(_xlfn.IFNA(INDEX(Table_Faktisk_antall_brukere[mar.25],MATCH(Table_Fakturering_antall_brukere[[#This Row],[Kommune]],Table_Faktisk_antall_brukere[Kommune],0)),0)&lt;_xlfn.IFNA(INDEX(Table_Måltall[mar.25],MATCH(Table_Fakturering_antall_brukere[[#This Row],[Kommune]],Table_Måltall[Kommune],0)),0),_xlfn.IFNA(INDEX(Table_Måltall[mar.25],MATCH(Table_Fakturering_antall_brukere[[#This Row],[Kommune]],Table_Måltall[Kommune],0)),0),_xlfn.IFNA(INDEX(Table_Faktisk_antall_brukere[mar.25],MATCH(Table_Fakturering_antall_brukere[[#This Row],[Kommune]],Table_Faktisk_antall_brukere[Kommune],0)),0))</f>
        <v>12</v>
      </c>
      <c r="F7" s="77">
        <f>IF(_xlfn.IFNA(INDEX(Table_Faktisk_antall_brukere[apr.25],MATCH(Table_Fakturering_antall_brukere[[#This Row],[Kommune]],Table_Faktisk_antall_brukere[Kommune],0)),0)&lt;_xlfn.IFNA(INDEX(Table_Måltall[apr.25],MATCH(Table_Fakturering_antall_brukere[[#This Row],[Kommune]],Table_Måltall[Kommune],0)),0),_xlfn.IFNA(INDEX(Table_Måltall[apr.25],MATCH(Table_Fakturering_antall_brukere[[#This Row],[Kommune]],Table_Måltall[Kommune],0)),0),_xlfn.IFNA(INDEX(Table_Faktisk_antall_brukere[apr.25],MATCH(Table_Fakturering_antall_brukere[[#This Row],[Kommune]],Table_Faktisk_antall_brukere[Kommune],0)),0))</f>
        <v>13</v>
      </c>
      <c r="G7" s="77">
        <f>IF(_xlfn.IFNA(INDEX(Table_Faktisk_antall_brukere[mai.25],MATCH(Table_Fakturering_antall_brukere[[#This Row],[Kommune]],Table_Faktisk_antall_brukere[Kommune],0)),0)&lt;_xlfn.IFNA(INDEX(Table_Måltall[mai.25],MATCH(Table_Fakturering_antall_brukere[[#This Row],[Kommune]],Table_Måltall[Kommune],0)),0),_xlfn.IFNA(INDEX(Table_Måltall[mai.25],MATCH(Table_Fakturering_antall_brukere[[#This Row],[Kommune]],Table_Måltall[Kommune],0)),0),_xlfn.IFNA(INDEX(Table_Faktisk_antall_brukere[mai.25],MATCH(Table_Fakturering_antall_brukere[[#This Row],[Kommune]],Table_Faktisk_antall_brukere[Kommune],0)),0))</f>
        <v>14</v>
      </c>
      <c r="H7" s="77">
        <f>IF(_xlfn.IFNA(INDEX(Table_Faktisk_antall_brukere[jun.25],MATCH(Table_Fakturering_antall_brukere[[#This Row],[Kommune]],Table_Faktisk_antall_brukere[Kommune],0)),0)&lt;_xlfn.IFNA(INDEX(Table_Måltall[jun.25],MATCH(Table_Fakturering_antall_brukere[[#This Row],[Kommune]],Table_Måltall[Kommune],0)),0),_xlfn.IFNA(INDEX(Table_Måltall[jun.25],MATCH(Table_Fakturering_antall_brukere[[#This Row],[Kommune]],Table_Måltall[Kommune],0)),0),_xlfn.IFNA(INDEX(Table_Faktisk_antall_brukere[jun.25],MATCH(Table_Fakturering_antall_brukere[[#This Row],[Kommune]],Table_Faktisk_antall_brukere[Kommune],0)),0))</f>
        <v>15</v>
      </c>
      <c r="I7" s="77">
        <f>IF(_xlfn.IFNA(INDEX(Table_Faktisk_antall_brukere[jul.25],MATCH(Table_Fakturering_antall_brukere[[#This Row],[Kommune]],Table_Faktisk_antall_brukere[Kommune],0)),0)&lt;_xlfn.IFNA(INDEX(Table_Måltall[jul.25],MATCH(Table_Fakturering_antall_brukere[[#This Row],[Kommune]],Table_Måltall[Kommune],0)),0),_xlfn.IFNA(INDEX(Table_Måltall[jul.25],MATCH(Table_Fakturering_antall_brukere[[#This Row],[Kommune]],Table_Måltall[Kommune],0)),0),_xlfn.IFNA(INDEX(Table_Faktisk_antall_brukere[jul.25],MATCH(Table_Fakturering_antall_brukere[[#This Row],[Kommune]],Table_Faktisk_antall_brukere[Kommune],0)),0))</f>
        <v>16</v>
      </c>
      <c r="J7" s="77">
        <f>IF(_xlfn.IFNA(INDEX(Table_Faktisk_antall_brukere[aug.25],MATCH(Table_Fakturering_antall_brukere[[#This Row],[Kommune]],Table_Faktisk_antall_brukere[Kommune],0)),0)&lt;_xlfn.IFNA(INDEX(Table_Måltall[aug.25],MATCH(Table_Fakturering_antall_brukere[[#This Row],[Kommune]],Table_Måltall[Kommune],0)),0),_xlfn.IFNA(INDEX(Table_Måltall[aug.25],MATCH(Table_Fakturering_antall_brukere[[#This Row],[Kommune]],Table_Måltall[Kommune],0)),0),_xlfn.IFNA(INDEX(Table_Faktisk_antall_brukere[aug.25],MATCH(Table_Fakturering_antall_brukere[[#This Row],[Kommune]],Table_Faktisk_antall_brukere[Kommune],0)),0))</f>
        <v>17</v>
      </c>
      <c r="K7" s="77">
        <f>IF(_xlfn.IFNA(INDEX(Table_Faktisk_antall_brukere[sep.25],MATCH(Table_Fakturering_antall_brukere[[#This Row],[Kommune]],Table_Faktisk_antall_brukere[Kommune],0)),0)&lt;_xlfn.IFNA(INDEX(Table_Måltall[sep.25],MATCH(Table_Fakturering_antall_brukere[[#This Row],[Kommune]],Table_Måltall[Kommune],0)),0),_xlfn.IFNA(INDEX(Table_Måltall[sep.25],MATCH(Table_Fakturering_antall_brukere[[#This Row],[Kommune]],Table_Måltall[Kommune],0)),0),_xlfn.IFNA(INDEX(Table_Faktisk_antall_brukere[sep.25],MATCH(Table_Fakturering_antall_brukere[[#This Row],[Kommune]],Table_Faktisk_antall_brukere[Kommune],0)),0))</f>
        <v>18</v>
      </c>
      <c r="L7" s="77">
        <f>IF(_xlfn.IFNA(INDEX(Table_Faktisk_antall_brukere[okt.25],MATCH(Table_Fakturering_antall_brukere[[#This Row],[Kommune]],Table_Faktisk_antall_brukere[Kommune],0)),0)&lt;_xlfn.IFNA(INDEX(Table_Måltall[okt.25],MATCH(Table_Fakturering_antall_brukere[[#This Row],[Kommune]],Table_Måltall[Kommune],0)),0),_xlfn.IFNA(INDEX(Table_Måltall[okt.25],MATCH(Table_Fakturering_antall_brukere[[#This Row],[Kommune]],Table_Måltall[Kommune],0)),0),_xlfn.IFNA(INDEX(Table_Faktisk_antall_brukere[okt.25],MATCH(Table_Fakturering_antall_brukere[[#This Row],[Kommune]],Table_Faktisk_antall_brukere[Kommune],0)),0))</f>
        <v>19</v>
      </c>
      <c r="M7" s="77">
        <f>IF(_xlfn.IFNA(INDEX(Table_Faktisk_antall_brukere[nov.25],MATCH(Table_Fakturering_antall_brukere[[#This Row],[Kommune]],Table_Faktisk_antall_brukere[Kommune],0)),0)&lt;_xlfn.IFNA(INDEX(Table_Måltall[nov.25],MATCH(Table_Fakturering_antall_brukere[[#This Row],[Kommune]],Table_Måltall[Kommune],0)),0),_xlfn.IFNA(INDEX(Table_Måltall[nov.25],MATCH(Table_Fakturering_antall_brukere[[#This Row],[Kommune]],Table_Måltall[Kommune],0)),0),_xlfn.IFNA(INDEX(Table_Faktisk_antall_brukere[nov.25],MATCH(Table_Fakturering_antall_brukere[[#This Row],[Kommune]],Table_Faktisk_antall_brukere[Kommune],0)),0))</f>
        <v>20</v>
      </c>
      <c r="N7" s="77">
        <f>IF(_xlfn.IFNA(INDEX(Table_Faktisk_antall_brukere[des.25],MATCH(Table_Fakturering_antall_brukere[[#This Row],[Kommune]],Table_Faktisk_antall_brukere[Kommune],0)),0)&lt;_xlfn.IFNA(INDEX(Table_Måltall[des.25],MATCH(Table_Fakturering_antall_brukere[[#This Row],[Kommune]],Table_Måltall[Kommune],0)),0),_xlfn.IFNA(INDEX(Table_Måltall[des.25],MATCH(Table_Fakturering_antall_brukere[[#This Row],[Kommune]],Table_Måltall[Kommune],0)),0),_xlfn.IFNA(INDEX(Table_Faktisk_antall_brukere[des.25],MATCH(Table_Fakturering_antall_brukere[[#This Row],[Kommune]],Table_Faktisk_antall_brukere[Kommune],0)),0))</f>
        <v>21</v>
      </c>
      <c r="O7" s="3">
        <f>SUM(Table_Fakturering_antall_brukere[[#This Row],[jan.25]:[des.25]])</f>
        <v>186</v>
      </c>
      <c r="P7" s="21">
        <f>Table_Fakturering_antall_brukere[[#This Row],[Totalt 2025]]/COUNTIF(Table_Fakturering_antall_brukere[[#This Row],[jan.25]:[des.25]],"&gt;0")</f>
        <v>15.5</v>
      </c>
    </row>
    <row r="8" spans="2:16" ht="16.05" customHeight="1" x14ac:dyDescent="0.3">
      <c r="B8" s="93" t="s">
        <v>78</v>
      </c>
      <c r="C8" s="77">
        <f>IF(_xlfn.IFNA(INDEX(Table_Faktisk_antall_brukere[jan.25],MATCH(Table_Fakturering_antall_brukere[[#This Row],[Kommune]],Table_Faktisk_antall_brukere[Kommune],0)),0)&lt;_xlfn.IFNA(INDEX(Table_Måltall[jan.25],MATCH(Table_Fakturering_antall_brukere[[#This Row],[Kommune]],Table_Måltall[Kommune],0)),0),_xlfn.IFNA(INDEX(Table_Måltall[jan.25],MATCH(Table_Fakturering_antall_brukere[[#This Row],[Kommune]],Table_Måltall[Kommune],0)),0),_xlfn.IFNA(INDEX(Table_Faktisk_antall_brukere[jan.25],MATCH(Table_Fakturering_antall_brukere[[#This Row],[Kommune]],Table_Faktisk_antall_brukere[Kommune],0)),0))</f>
        <v>10</v>
      </c>
      <c r="D8" s="77">
        <f>IF(_xlfn.IFNA(INDEX(Table_Faktisk_antall_brukere[feb.25],MATCH(Table_Fakturering_antall_brukere[[#This Row],[Kommune]],Table_Faktisk_antall_brukere[Kommune],0)),0)&lt;_xlfn.IFNA(INDEX(Table_Måltall[feb.25],MATCH(Table_Fakturering_antall_brukere[[#This Row],[Kommune]],Table_Måltall[Kommune],0)),0),_xlfn.IFNA(INDEX(Table_Måltall[feb.25],MATCH(Table_Fakturering_antall_brukere[[#This Row],[Kommune]],Table_Måltall[Kommune],0)),0),_xlfn.IFNA(INDEX(Table_Faktisk_antall_brukere[feb.25],MATCH(Table_Fakturering_antall_brukere[[#This Row],[Kommune]],Table_Faktisk_antall_brukere[Kommune],0)),0))</f>
        <v>10</v>
      </c>
      <c r="E8" s="77">
        <f>IF(_xlfn.IFNA(INDEX(Table_Faktisk_antall_brukere[mar.25],MATCH(Table_Fakturering_antall_brukere[[#This Row],[Kommune]],Table_Faktisk_antall_brukere[Kommune],0)),0)&lt;_xlfn.IFNA(INDEX(Table_Måltall[mar.25],MATCH(Table_Fakturering_antall_brukere[[#This Row],[Kommune]],Table_Måltall[Kommune],0)),0),_xlfn.IFNA(INDEX(Table_Måltall[mar.25],MATCH(Table_Fakturering_antall_brukere[[#This Row],[Kommune]],Table_Måltall[Kommune],0)),0),_xlfn.IFNA(INDEX(Table_Faktisk_antall_brukere[mar.25],MATCH(Table_Fakturering_antall_brukere[[#This Row],[Kommune]],Table_Faktisk_antall_brukere[Kommune],0)),0))</f>
        <v>10</v>
      </c>
      <c r="F8" s="77">
        <f>IF(_xlfn.IFNA(INDEX(Table_Faktisk_antall_brukere[apr.25],MATCH(Table_Fakturering_antall_brukere[[#This Row],[Kommune]],Table_Faktisk_antall_brukere[Kommune],0)),0)&lt;_xlfn.IFNA(INDEX(Table_Måltall[apr.25],MATCH(Table_Fakturering_antall_brukere[[#This Row],[Kommune]],Table_Måltall[Kommune],0)),0),_xlfn.IFNA(INDEX(Table_Måltall[apr.25],MATCH(Table_Fakturering_antall_brukere[[#This Row],[Kommune]],Table_Måltall[Kommune],0)),0),_xlfn.IFNA(INDEX(Table_Faktisk_antall_brukere[apr.25],MATCH(Table_Fakturering_antall_brukere[[#This Row],[Kommune]],Table_Faktisk_antall_brukere[Kommune],0)),0))</f>
        <v>10</v>
      </c>
      <c r="G8" s="77">
        <f>IF(_xlfn.IFNA(INDEX(Table_Faktisk_antall_brukere[mai.25],MATCH(Table_Fakturering_antall_brukere[[#This Row],[Kommune]],Table_Faktisk_antall_brukere[Kommune],0)),0)&lt;_xlfn.IFNA(INDEX(Table_Måltall[mai.25],MATCH(Table_Fakturering_antall_brukere[[#This Row],[Kommune]],Table_Måltall[Kommune],0)),0),_xlfn.IFNA(INDEX(Table_Måltall[mai.25],MATCH(Table_Fakturering_antall_brukere[[#This Row],[Kommune]],Table_Måltall[Kommune],0)),0),_xlfn.IFNA(INDEX(Table_Faktisk_antall_brukere[mai.25],MATCH(Table_Fakturering_antall_brukere[[#This Row],[Kommune]],Table_Faktisk_antall_brukere[Kommune],0)),0))</f>
        <v>10</v>
      </c>
      <c r="H8" s="77">
        <f>IF(_xlfn.IFNA(INDEX(Table_Faktisk_antall_brukere[jun.25],MATCH(Table_Fakturering_antall_brukere[[#This Row],[Kommune]],Table_Faktisk_antall_brukere[Kommune],0)),0)&lt;_xlfn.IFNA(INDEX(Table_Måltall[jun.25],MATCH(Table_Fakturering_antall_brukere[[#This Row],[Kommune]],Table_Måltall[Kommune],0)),0),_xlfn.IFNA(INDEX(Table_Måltall[jun.25],MATCH(Table_Fakturering_antall_brukere[[#This Row],[Kommune]],Table_Måltall[Kommune],0)),0),_xlfn.IFNA(INDEX(Table_Faktisk_antall_brukere[jun.25],MATCH(Table_Fakturering_antall_brukere[[#This Row],[Kommune]],Table_Faktisk_antall_brukere[Kommune],0)),0))</f>
        <v>10</v>
      </c>
      <c r="I8" s="77">
        <f>IF(_xlfn.IFNA(INDEX(Table_Faktisk_antall_brukere[jul.25],MATCH(Table_Fakturering_antall_brukere[[#This Row],[Kommune]],Table_Faktisk_antall_brukere[Kommune],0)),0)&lt;_xlfn.IFNA(INDEX(Table_Måltall[jul.25],MATCH(Table_Fakturering_antall_brukere[[#This Row],[Kommune]],Table_Måltall[Kommune],0)),0),_xlfn.IFNA(INDEX(Table_Måltall[jul.25],MATCH(Table_Fakturering_antall_brukere[[#This Row],[Kommune]],Table_Måltall[Kommune],0)),0),_xlfn.IFNA(INDEX(Table_Faktisk_antall_brukere[jul.25],MATCH(Table_Fakturering_antall_brukere[[#This Row],[Kommune]],Table_Faktisk_antall_brukere[Kommune],0)),0))</f>
        <v>10</v>
      </c>
      <c r="J8" s="77">
        <f>IF(_xlfn.IFNA(INDEX(Table_Faktisk_antall_brukere[aug.25],MATCH(Table_Fakturering_antall_brukere[[#This Row],[Kommune]],Table_Faktisk_antall_brukere[Kommune],0)),0)&lt;_xlfn.IFNA(INDEX(Table_Måltall[aug.25],MATCH(Table_Fakturering_antall_brukere[[#This Row],[Kommune]],Table_Måltall[Kommune],0)),0),_xlfn.IFNA(INDEX(Table_Måltall[aug.25],MATCH(Table_Fakturering_antall_brukere[[#This Row],[Kommune]],Table_Måltall[Kommune],0)),0),_xlfn.IFNA(INDEX(Table_Faktisk_antall_brukere[aug.25],MATCH(Table_Fakturering_antall_brukere[[#This Row],[Kommune]],Table_Faktisk_antall_brukere[Kommune],0)),0))</f>
        <v>10</v>
      </c>
      <c r="K8" s="77">
        <f>IF(_xlfn.IFNA(INDEX(Table_Faktisk_antall_brukere[sep.25],MATCH(Table_Fakturering_antall_brukere[[#This Row],[Kommune]],Table_Faktisk_antall_brukere[Kommune],0)),0)&lt;_xlfn.IFNA(INDEX(Table_Måltall[sep.25],MATCH(Table_Fakturering_antall_brukere[[#This Row],[Kommune]],Table_Måltall[Kommune],0)),0),_xlfn.IFNA(INDEX(Table_Måltall[sep.25],MATCH(Table_Fakturering_antall_brukere[[#This Row],[Kommune]],Table_Måltall[Kommune],0)),0),_xlfn.IFNA(INDEX(Table_Faktisk_antall_brukere[sep.25],MATCH(Table_Fakturering_antall_brukere[[#This Row],[Kommune]],Table_Faktisk_antall_brukere[Kommune],0)),0))</f>
        <v>10</v>
      </c>
      <c r="L8" s="77">
        <f>IF(_xlfn.IFNA(INDEX(Table_Faktisk_antall_brukere[okt.25],MATCH(Table_Fakturering_antall_brukere[[#This Row],[Kommune]],Table_Faktisk_antall_brukere[Kommune],0)),0)&lt;_xlfn.IFNA(INDEX(Table_Måltall[okt.25],MATCH(Table_Fakturering_antall_brukere[[#This Row],[Kommune]],Table_Måltall[Kommune],0)),0),_xlfn.IFNA(INDEX(Table_Måltall[okt.25],MATCH(Table_Fakturering_antall_brukere[[#This Row],[Kommune]],Table_Måltall[Kommune],0)),0),_xlfn.IFNA(INDEX(Table_Faktisk_antall_brukere[okt.25],MATCH(Table_Fakturering_antall_brukere[[#This Row],[Kommune]],Table_Faktisk_antall_brukere[Kommune],0)),0))</f>
        <v>10</v>
      </c>
      <c r="M8" s="77">
        <f>IF(_xlfn.IFNA(INDEX(Table_Faktisk_antall_brukere[nov.25],MATCH(Table_Fakturering_antall_brukere[[#This Row],[Kommune]],Table_Faktisk_antall_brukere[Kommune],0)),0)&lt;_xlfn.IFNA(INDEX(Table_Måltall[nov.25],MATCH(Table_Fakturering_antall_brukere[[#This Row],[Kommune]],Table_Måltall[Kommune],0)),0),_xlfn.IFNA(INDEX(Table_Måltall[nov.25],MATCH(Table_Fakturering_antall_brukere[[#This Row],[Kommune]],Table_Måltall[Kommune],0)),0),_xlfn.IFNA(INDEX(Table_Faktisk_antall_brukere[nov.25],MATCH(Table_Fakturering_antall_brukere[[#This Row],[Kommune]],Table_Faktisk_antall_brukere[Kommune],0)),0))</f>
        <v>10</v>
      </c>
      <c r="N8" s="77">
        <f>IF(_xlfn.IFNA(INDEX(Table_Faktisk_antall_brukere[des.25],MATCH(Table_Fakturering_antall_brukere[[#This Row],[Kommune]],Table_Faktisk_antall_brukere[Kommune],0)),0)&lt;_xlfn.IFNA(INDEX(Table_Måltall[des.25],MATCH(Table_Fakturering_antall_brukere[[#This Row],[Kommune]],Table_Måltall[Kommune],0)),0),_xlfn.IFNA(INDEX(Table_Måltall[des.25],MATCH(Table_Fakturering_antall_brukere[[#This Row],[Kommune]],Table_Måltall[Kommune],0)),0),_xlfn.IFNA(INDEX(Table_Faktisk_antall_brukere[des.25],MATCH(Table_Fakturering_antall_brukere[[#This Row],[Kommune]],Table_Faktisk_antall_brukere[Kommune],0)),0))</f>
        <v>10</v>
      </c>
      <c r="O8" s="3">
        <f>SUM(Table_Fakturering_antall_brukere[[#This Row],[jan.25]:[des.25]])</f>
        <v>120</v>
      </c>
      <c r="P8" s="21">
        <f>Table_Fakturering_antall_brukere[[#This Row],[Totalt 2025]]/COUNTIF(Table_Fakturering_antall_brukere[[#This Row],[jan.25]:[des.25]],"&gt;0")</f>
        <v>10</v>
      </c>
    </row>
    <row r="9" spans="2:16" ht="16.05" customHeight="1" x14ac:dyDescent="0.3">
      <c r="B9" s="93" t="s">
        <v>79</v>
      </c>
      <c r="C9" s="77">
        <f>IF(_xlfn.IFNA(INDEX(Table_Faktisk_antall_brukere[jan.25],MATCH(Table_Fakturering_antall_brukere[[#This Row],[Kommune]],Table_Faktisk_antall_brukere[Kommune],0)),0)&lt;_xlfn.IFNA(INDEX(Table_Måltall[jan.25],MATCH(Table_Fakturering_antall_brukere[[#This Row],[Kommune]],Table_Måltall[Kommune],0)),0),_xlfn.IFNA(INDEX(Table_Måltall[jan.25],MATCH(Table_Fakturering_antall_brukere[[#This Row],[Kommune]],Table_Måltall[Kommune],0)),0),_xlfn.IFNA(INDEX(Table_Faktisk_antall_brukere[jan.25],MATCH(Table_Fakturering_antall_brukere[[#This Row],[Kommune]],Table_Faktisk_antall_brukere[Kommune],0)),0))</f>
        <v>6</v>
      </c>
      <c r="D9" s="77">
        <f>IF(_xlfn.IFNA(INDEX(Table_Faktisk_antall_brukere[feb.25],MATCH(Table_Fakturering_antall_brukere[[#This Row],[Kommune]],Table_Faktisk_antall_brukere[Kommune],0)),0)&lt;_xlfn.IFNA(INDEX(Table_Måltall[feb.25],MATCH(Table_Fakturering_antall_brukere[[#This Row],[Kommune]],Table_Måltall[Kommune],0)),0),_xlfn.IFNA(INDEX(Table_Måltall[feb.25],MATCH(Table_Fakturering_antall_brukere[[#This Row],[Kommune]],Table_Måltall[Kommune],0)),0),_xlfn.IFNA(INDEX(Table_Faktisk_antall_brukere[feb.25],MATCH(Table_Fakturering_antall_brukere[[#This Row],[Kommune]],Table_Faktisk_antall_brukere[Kommune],0)),0))</f>
        <v>6</v>
      </c>
      <c r="E9" s="77">
        <f>IF(_xlfn.IFNA(INDEX(Table_Faktisk_antall_brukere[mar.25],MATCH(Table_Fakturering_antall_brukere[[#This Row],[Kommune]],Table_Faktisk_antall_brukere[Kommune],0)),0)&lt;_xlfn.IFNA(INDEX(Table_Måltall[mar.25],MATCH(Table_Fakturering_antall_brukere[[#This Row],[Kommune]],Table_Måltall[Kommune],0)),0),_xlfn.IFNA(INDEX(Table_Måltall[mar.25],MATCH(Table_Fakturering_antall_brukere[[#This Row],[Kommune]],Table_Måltall[Kommune],0)),0),_xlfn.IFNA(INDEX(Table_Faktisk_antall_brukere[mar.25],MATCH(Table_Fakturering_antall_brukere[[#This Row],[Kommune]],Table_Faktisk_antall_brukere[Kommune],0)),0))</f>
        <v>6</v>
      </c>
      <c r="F9" s="77">
        <f>IF(_xlfn.IFNA(INDEX(Table_Faktisk_antall_brukere[apr.25],MATCH(Table_Fakturering_antall_brukere[[#This Row],[Kommune]],Table_Faktisk_antall_brukere[Kommune],0)),0)&lt;_xlfn.IFNA(INDEX(Table_Måltall[apr.25],MATCH(Table_Fakturering_antall_brukere[[#This Row],[Kommune]],Table_Måltall[Kommune],0)),0),_xlfn.IFNA(INDEX(Table_Måltall[apr.25],MATCH(Table_Fakturering_antall_brukere[[#This Row],[Kommune]],Table_Måltall[Kommune],0)),0),_xlfn.IFNA(INDEX(Table_Faktisk_antall_brukere[apr.25],MATCH(Table_Fakturering_antall_brukere[[#This Row],[Kommune]],Table_Faktisk_antall_brukere[Kommune],0)),0))</f>
        <v>6</v>
      </c>
      <c r="G9" s="77">
        <f>IF(_xlfn.IFNA(INDEX(Table_Faktisk_antall_brukere[mai.25],MATCH(Table_Fakturering_antall_brukere[[#This Row],[Kommune]],Table_Faktisk_antall_brukere[Kommune],0)),0)&lt;_xlfn.IFNA(INDEX(Table_Måltall[mai.25],MATCH(Table_Fakturering_antall_brukere[[#This Row],[Kommune]],Table_Måltall[Kommune],0)),0),_xlfn.IFNA(INDEX(Table_Måltall[mai.25],MATCH(Table_Fakturering_antall_brukere[[#This Row],[Kommune]],Table_Måltall[Kommune],0)),0),_xlfn.IFNA(INDEX(Table_Faktisk_antall_brukere[mai.25],MATCH(Table_Fakturering_antall_brukere[[#This Row],[Kommune]],Table_Faktisk_antall_brukere[Kommune],0)),0))</f>
        <v>6</v>
      </c>
      <c r="H9" s="77">
        <f>IF(_xlfn.IFNA(INDEX(Table_Faktisk_antall_brukere[jun.25],MATCH(Table_Fakturering_antall_brukere[[#This Row],[Kommune]],Table_Faktisk_antall_brukere[Kommune],0)),0)&lt;_xlfn.IFNA(INDEX(Table_Måltall[jun.25],MATCH(Table_Fakturering_antall_brukere[[#This Row],[Kommune]],Table_Måltall[Kommune],0)),0),_xlfn.IFNA(INDEX(Table_Måltall[jun.25],MATCH(Table_Fakturering_antall_brukere[[#This Row],[Kommune]],Table_Måltall[Kommune],0)),0),_xlfn.IFNA(INDEX(Table_Faktisk_antall_brukere[jun.25],MATCH(Table_Fakturering_antall_brukere[[#This Row],[Kommune]],Table_Faktisk_antall_brukere[Kommune],0)),0))</f>
        <v>6</v>
      </c>
      <c r="I9" s="77">
        <f>IF(_xlfn.IFNA(INDEX(Table_Faktisk_antall_brukere[jul.25],MATCH(Table_Fakturering_antall_brukere[[#This Row],[Kommune]],Table_Faktisk_antall_brukere[Kommune],0)),0)&lt;_xlfn.IFNA(INDEX(Table_Måltall[jul.25],MATCH(Table_Fakturering_antall_brukere[[#This Row],[Kommune]],Table_Måltall[Kommune],0)),0),_xlfn.IFNA(INDEX(Table_Måltall[jul.25],MATCH(Table_Fakturering_antall_brukere[[#This Row],[Kommune]],Table_Måltall[Kommune],0)),0),_xlfn.IFNA(INDEX(Table_Faktisk_antall_brukere[jul.25],MATCH(Table_Fakturering_antall_brukere[[#This Row],[Kommune]],Table_Faktisk_antall_brukere[Kommune],0)),0))</f>
        <v>6</v>
      </c>
      <c r="J9" s="77">
        <f>IF(_xlfn.IFNA(INDEX(Table_Faktisk_antall_brukere[aug.25],MATCH(Table_Fakturering_antall_brukere[[#This Row],[Kommune]],Table_Faktisk_antall_brukere[Kommune],0)),0)&lt;_xlfn.IFNA(INDEX(Table_Måltall[aug.25],MATCH(Table_Fakturering_antall_brukere[[#This Row],[Kommune]],Table_Måltall[Kommune],0)),0),_xlfn.IFNA(INDEX(Table_Måltall[aug.25],MATCH(Table_Fakturering_antall_brukere[[#This Row],[Kommune]],Table_Måltall[Kommune],0)),0),_xlfn.IFNA(INDEX(Table_Faktisk_antall_brukere[aug.25],MATCH(Table_Fakturering_antall_brukere[[#This Row],[Kommune]],Table_Faktisk_antall_brukere[Kommune],0)),0))</f>
        <v>6</v>
      </c>
      <c r="K9" s="77">
        <f>IF(_xlfn.IFNA(INDEX(Table_Faktisk_antall_brukere[sep.25],MATCH(Table_Fakturering_antall_brukere[[#This Row],[Kommune]],Table_Faktisk_antall_brukere[Kommune],0)),0)&lt;_xlfn.IFNA(INDEX(Table_Måltall[sep.25],MATCH(Table_Fakturering_antall_brukere[[#This Row],[Kommune]],Table_Måltall[Kommune],0)),0),_xlfn.IFNA(INDEX(Table_Måltall[sep.25],MATCH(Table_Fakturering_antall_brukere[[#This Row],[Kommune]],Table_Måltall[Kommune],0)),0),_xlfn.IFNA(INDEX(Table_Faktisk_antall_brukere[sep.25],MATCH(Table_Fakturering_antall_brukere[[#This Row],[Kommune]],Table_Faktisk_antall_brukere[Kommune],0)),0))</f>
        <v>6</v>
      </c>
      <c r="L9" s="77">
        <f>IF(_xlfn.IFNA(INDEX(Table_Faktisk_antall_brukere[okt.25],MATCH(Table_Fakturering_antall_brukere[[#This Row],[Kommune]],Table_Faktisk_antall_brukere[Kommune],0)),0)&lt;_xlfn.IFNA(INDEX(Table_Måltall[okt.25],MATCH(Table_Fakturering_antall_brukere[[#This Row],[Kommune]],Table_Måltall[Kommune],0)),0),_xlfn.IFNA(INDEX(Table_Måltall[okt.25],MATCH(Table_Fakturering_antall_brukere[[#This Row],[Kommune]],Table_Måltall[Kommune],0)),0),_xlfn.IFNA(INDEX(Table_Faktisk_antall_brukere[okt.25],MATCH(Table_Fakturering_antall_brukere[[#This Row],[Kommune]],Table_Faktisk_antall_brukere[Kommune],0)),0))</f>
        <v>6</v>
      </c>
      <c r="M9" s="77">
        <f>IF(_xlfn.IFNA(INDEX(Table_Faktisk_antall_brukere[nov.25],MATCH(Table_Fakturering_antall_brukere[[#This Row],[Kommune]],Table_Faktisk_antall_brukere[Kommune],0)),0)&lt;_xlfn.IFNA(INDEX(Table_Måltall[nov.25],MATCH(Table_Fakturering_antall_brukere[[#This Row],[Kommune]],Table_Måltall[Kommune],0)),0),_xlfn.IFNA(INDEX(Table_Måltall[nov.25],MATCH(Table_Fakturering_antall_brukere[[#This Row],[Kommune]],Table_Måltall[Kommune],0)),0),_xlfn.IFNA(INDEX(Table_Faktisk_antall_brukere[nov.25],MATCH(Table_Fakturering_antall_brukere[[#This Row],[Kommune]],Table_Faktisk_antall_brukere[Kommune],0)),0))</f>
        <v>6</v>
      </c>
      <c r="N9" s="77">
        <f>IF(_xlfn.IFNA(INDEX(Table_Faktisk_antall_brukere[des.25],MATCH(Table_Fakturering_antall_brukere[[#This Row],[Kommune]],Table_Faktisk_antall_brukere[Kommune],0)),0)&lt;_xlfn.IFNA(INDEX(Table_Måltall[des.25],MATCH(Table_Fakturering_antall_brukere[[#This Row],[Kommune]],Table_Måltall[Kommune],0)),0),_xlfn.IFNA(INDEX(Table_Måltall[des.25],MATCH(Table_Fakturering_antall_brukere[[#This Row],[Kommune]],Table_Måltall[Kommune],0)),0),_xlfn.IFNA(INDEX(Table_Faktisk_antall_brukere[des.25],MATCH(Table_Fakturering_antall_brukere[[#This Row],[Kommune]],Table_Faktisk_antall_brukere[Kommune],0)),0))</f>
        <v>6</v>
      </c>
      <c r="O9" s="3">
        <f>SUM(Table_Fakturering_antall_brukere[[#This Row],[jan.25]:[des.25]])</f>
        <v>72</v>
      </c>
      <c r="P9" s="21">
        <f>Table_Fakturering_antall_brukere[[#This Row],[Totalt 2025]]/COUNTIF(Table_Fakturering_antall_brukere[[#This Row],[jan.25]:[des.25]],"&gt;0")</f>
        <v>6</v>
      </c>
    </row>
    <row r="10" spans="2:16" ht="16.05" customHeight="1" x14ac:dyDescent="0.3">
      <c r="B10" s="93" t="s">
        <v>80</v>
      </c>
      <c r="C10" s="77">
        <f>IF(_xlfn.IFNA(INDEX(Table_Faktisk_antall_brukere[jan.25],MATCH(Table_Fakturering_antall_brukere[[#This Row],[Kommune]],Table_Faktisk_antall_brukere[Kommune],0)),0)&lt;_xlfn.IFNA(INDEX(Table_Måltall[jan.25],MATCH(Table_Fakturering_antall_brukere[[#This Row],[Kommune]],Table_Måltall[Kommune],0)),0),_xlfn.IFNA(INDEX(Table_Måltall[jan.25],MATCH(Table_Fakturering_antall_brukere[[#This Row],[Kommune]],Table_Måltall[Kommune],0)),0),_xlfn.IFNA(INDEX(Table_Faktisk_antall_brukere[jan.25],MATCH(Table_Fakturering_antall_brukere[[#This Row],[Kommune]],Table_Faktisk_antall_brukere[Kommune],0)),0))</f>
        <v>9</v>
      </c>
      <c r="D10" s="77">
        <f>IF(_xlfn.IFNA(INDEX(Table_Faktisk_antall_brukere[feb.25],MATCH(Table_Fakturering_antall_brukere[[#This Row],[Kommune]],Table_Faktisk_antall_brukere[Kommune],0)),0)&lt;_xlfn.IFNA(INDEX(Table_Måltall[feb.25],MATCH(Table_Fakturering_antall_brukere[[#This Row],[Kommune]],Table_Måltall[Kommune],0)),0),_xlfn.IFNA(INDEX(Table_Måltall[feb.25],MATCH(Table_Fakturering_antall_brukere[[#This Row],[Kommune]],Table_Måltall[Kommune],0)),0),_xlfn.IFNA(INDEX(Table_Faktisk_antall_brukere[feb.25],MATCH(Table_Fakturering_antall_brukere[[#This Row],[Kommune]],Table_Faktisk_antall_brukere[Kommune],0)),0))</f>
        <v>10</v>
      </c>
      <c r="E10" s="77">
        <f>IF(_xlfn.IFNA(INDEX(Table_Faktisk_antall_brukere[mar.25],MATCH(Table_Fakturering_antall_brukere[[#This Row],[Kommune]],Table_Faktisk_antall_brukere[Kommune],0)),0)&lt;_xlfn.IFNA(INDEX(Table_Måltall[mar.25],MATCH(Table_Fakturering_antall_brukere[[#This Row],[Kommune]],Table_Måltall[Kommune],0)),0),_xlfn.IFNA(INDEX(Table_Måltall[mar.25],MATCH(Table_Fakturering_antall_brukere[[#This Row],[Kommune]],Table_Måltall[Kommune],0)),0),_xlfn.IFNA(INDEX(Table_Faktisk_antall_brukere[mar.25],MATCH(Table_Fakturering_antall_brukere[[#This Row],[Kommune]],Table_Faktisk_antall_brukere[Kommune],0)),0))</f>
        <v>10</v>
      </c>
      <c r="F10" s="77">
        <f>IF(_xlfn.IFNA(INDEX(Table_Faktisk_antall_brukere[apr.25],MATCH(Table_Fakturering_antall_brukere[[#This Row],[Kommune]],Table_Faktisk_antall_brukere[Kommune],0)),0)&lt;_xlfn.IFNA(INDEX(Table_Måltall[apr.25],MATCH(Table_Fakturering_antall_brukere[[#This Row],[Kommune]],Table_Måltall[Kommune],0)),0),_xlfn.IFNA(INDEX(Table_Måltall[apr.25],MATCH(Table_Fakturering_antall_brukere[[#This Row],[Kommune]],Table_Måltall[Kommune],0)),0),_xlfn.IFNA(INDEX(Table_Faktisk_antall_brukere[apr.25],MATCH(Table_Fakturering_antall_brukere[[#This Row],[Kommune]],Table_Faktisk_antall_brukere[Kommune],0)),0))</f>
        <v>10</v>
      </c>
      <c r="G10" s="77">
        <f>IF(_xlfn.IFNA(INDEX(Table_Faktisk_antall_brukere[mai.25],MATCH(Table_Fakturering_antall_brukere[[#This Row],[Kommune]],Table_Faktisk_antall_brukere[Kommune],0)),0)&lt;_xlfn.IFNA(INDEX(Table_Måltall[mai.25],MATCH(Table_Fakturering_antall_brukere[[#This Row],[Kommune]],Table_Måltall[Kommune],0)),0),_xlfn.IFNA(INDEX(Table_Måltall[mai.25],MATCH(Table_Fakturering_antall_brukere[[#This Row],[Kommune]],Table_Måltall[Kommune],0)),0),_xlfn.IFNA(INDEX(Table_Faktisk_antall_brukere[mai.25],MATCH(Table_Fakturering_antall_brukere[[#This Row],[Kommune]],Table_Faktisk_antall_brukere[Kommune],0)),0))</f>
        <v>10</v>
      </c>
      <c r="H10" s="77">
        <f>IF(_xlfn.IFNA(INDEX(Table_Faktisk_antall_brukere[jun.25],MATCH(Table_Fakturering_antall_brukere[[#This Row],[Kommune]],Table_Faktisk_antall_brukere[Kommune],0)),0)&lt;_xlfn.IFNA(INDEX(Table_Måltall[jun.25],MATCH(Table_Fakturering_antall_brukere[[#This Row],[Kommune]],Table_Måltall[Kommune],0)),0),_xlfn.IFNA(INDEX(Table_Måltall[jun.25],MATCH(Table_Fakturering_antall_brukere[[#This Row],[Kommune]],Table_Måltall[Kommune],0)),0),_xlfn.IFNA(INDEX(Table_Faktisk_antall_brukere[jun.25],MATCH(Table_Fakturering_antall_brukere[[#This Row],[Kommune]],Table_Faktisk_antall_brukere[Kommune],0)),0))</f>
        <v>10</v>
      </c>
      <c r="I10" s="77">
        <f>IF(_xlfn.IFNA(INDEX(Table_Faktisk_antall_brukere[jul.25],MATCH(Table_Fakturering_antall_brukere[[#This Row],[Kommune]],Table_Faktisk_antall_brukere[Kommune],0)),0)&lt;_xlfn.IFNA(INDEX(Table_Måltall[jul.25],MATCH(Table_Fakturering_antall_brukere[[#This Row],[Kommune]],Table_Måltall[Kommune],0)),0),_xlfn.IFNA(INDEX(Table_Måltall[jul.25],MATCH(Table_Fakturering_antall_brukere[[#This Row],[Kommune]],Table_Måltall[Kommune],0)),0),_xlfn.IFNA(INDEX(Table_Faktisk_antall_brukere[jul.25],MATCH(Table_Fakturering_antall_brukere[[#This Row],[Kommune]],Table_Faktisk_antall_brukere[Kommune],0)),0))</f>
        <v>9</v>
      </c>
      <c r="J10" s="77">
        <f>IF(_xlfn.IFNA(INDEX(Table_Faktisk_antall_brukere[aug.25],MATCH(Table_Fakturering_antall_brukere[[#This Row],[Kommune]],Table_Faktisk_antall_brukere[Kommune],0)),0)&lt;_xlfn.IFNA(INDEX(Table_Måltall[aug.25],MATCH(Table_Fakturering_antall_brukere[[#This Row],[Kommune]],Table_Måltall[Kommune],0)),0),_xlfn.IFNA(INDEX(Table_Måltall[aug.25],MATCH(Table_Fakturering_antall_brukere[[#This Row],[Kommune]],Table_Måltall[Kommune],0)),0),_xlfn.IFNA(INDEX(Table_Faktisk_antall_brukere[aug.25],MATCH(Table_Fakturering_antall_brukere[[#This Row],[Kommune]],Table_Faktisk_antall_brukere[Kommune],0)),0))</f>
        <v>9</v>
      </c>
      <c r="K10" s="77">
        <f>IF(_xlfn.IFNA(INDEX(Table_Faktisk_antall_brukere[sep.25],MATCH(Table_Fakturering_antall_brukere[[#This Row],[Kommune]],Table_Faktisk_antall_brukere[Kommune],0)),0)&lt;_xlfn.IFNA(INDEX(Table_Måltall[sep.25],MATCH(Table_Fakturering_antall_brukere[[#This Row],[Kommune]],Table_Måltall[Kommune],0)),0),_xlfn.IFNA(INDEX(Table_Måltall[sep.25],MATCH(Table_Fakturering_antall_brukere[[#This Row],[Kommune]],Table_Måltall[Kommune],0)),0),_xlfn.IFNA(INDEX(Table_Faktisk_antall_brukere[sep.25],MATCH(Table_Fakturering_antall_brukere[[#This Row],[Kommune]],Table_Faktisk_antall_brukere[Kommune],0)),0))</f>
        <v>9</v>
      </c>
      <c r="L10" s="77">
        <f>IF(_xlfn.IFNA(INDEX(Table_Faktisk_antall_brukere[okt.25],MATCH(Table_Fakturering_antall_brukere[[#This Row],[Kommune]],Table_Faktisk_antall_brukere[Kommune],0)),0)&lt;_xlfn.IFNA(INDEX(Table_Måltall[okt.25],MATCH(Table_Fakturering_antall_brukere[[#This Row],[Kommune]],Table_Måltall[Kommune],0)),0),_xlfn.IFNA(INDEX(Table_Måltall[okt.25],MATCH(Table_Fakturering_antall_brukere[[#This Row],[Kommune]],Table_Måltall[Kommune],0)),0),_xlfn.IFNA(INDEX(Table_Faktisk_antall_brukere[okt.25],MATCH(Table_Fakturering_antall_brukere[[#This Row],[Kommune]],Table_Faktisk_antall_brukere[Kommune],0)),0))</f>
        <v>9</v>
      </c>
      <c r="M10" s="77">
        <f>IF(_xlfn.IFNA(INDEX(Table_Faktisk_antall_brukere[nov.25],MATCH(Table_Fakturering_antall_brukere[[#This Row],[Kommune]],Table_Faktisk_antall_brukere[Kommune],0)),0)&lt;_xlfn.IFNA(INDEX(Table_Måltall[nov.25],MATCH(Table_Fakturering_antall_brukere[[#This Row],[Kommune]],Table_Måltall[Kommune],0)),0),_xlfn.IFNA(INDEX(Table_Måltall[nov.25],MATCH(Table_Fakturering_antall_brukere[[#This Row],[Kommune]],Table_Måltall[Kommune],0)),0),_xlfn.IFNA(INDEX(Table_Faktisk_antall_brukere[nov.25],MATCH(Table_Fakturering_antall_brukere[[#This Row],[Kommune]],Table_Faktisk_antall_brukere[Kommune],0)),0))</f>
        <v>9</v>
      </c>
      <c r="N10" s="77">
        <f>IF(_xlfn.IFNA(INDEX(Table_Faktisk_antall_brukere[des.25],MATCH(Table_Fakturering_antall_brukere[[#This Row],[Kommune]],Table_Faktisk_antall_brukere[Kommune],0)),0)&lt;_xlfn.IFNA(INDEX(Table_Måltall[des.25],MATCH(Table_Fakturering_antall_brukere[[#This Row],[Kommune]],Table_Måltall[Kommune],0)),0),_xlfn.IFNA(INDEX(Table_Måltall[des.25],MATCH(Table_Fakturering_antall_brukere[[#This Row],[Kommune]],Table_Måltall[Kommune],0)),0),_xlfn.IFNA(INDEX(Table_Faktisk_antall_brukere[des.25],MATCH(Table_Fakturering_antall_brukere[[#This Row],[Kommune]],Table_Faktisk_antall_brukere[Kommune],0)),0))</f>
        <v>9</v>
      </c>
      <c r="O10" s="3">
        <f>SUM(Table_Fakturering_antall_brukere[[#This Row],[jan.25]:[des.25]])</f>
        <v>113</v>
      </c>
      <c r="P10" s="21">
        <f>Table_Fakturering_antall_brukere[[#This Row],[Totalt 2025]]/COUNTIF(Table_Fakturering_antall_brukere[[#This Row],[jan.25]:[des.25]],"&gt;0")</f>
        <v>9.4166666666666661</v>
      </c>
    </row>
    <row r="11" spans="2:16" ht="16.05" customHeight="1" x14ac:dyDescent="0.3">
      <c r="B11" s="93" t="s">
        <v>81</v>
      </c>
      <c r="C11" s="77">
        <f>IF(_xlfn.IFNA(INDEX(Table_Faktisk_antall_brukere[jan.25],MATCH(Table_Fakturering_antall_brukere[[#This Row],[Kommune]],Table_Faktisk_antall_brukere[Kommune],0)),0)&lt;_xlfn.IFNA(INDEX(Table_Måltall[jan.25],MATCH(Table_Fakturering_antall_brukere[[#This Row],[Kommune]],Table_Måltall[Kommune],0)),0),_xlfn.IFNA(INDEX(Table_Måltall[jan.25],MATCH(Table_Fakturering_antall_brukere[[#This Row],[Kommune]],Table_Måltall[Kommune],0)),0),_xlfn.IFNA(INDEX(Table_Faktisk_antall_brukere[jan.25],MATCH(Table_Fakturering_antall_brukere[[#This Row],[Kommune]],Table_Faktisk_antall_brukere[Kommune],0)),0))</f>
        <v>6</v>
      </c>
      <c r="D11" s="77">
        <f>IF(_xlfn.IFNA(INDEX(Table_Faktisk_antall_brukere[feb.25],MATCH(Table_Fakturering_antall_brukere[[#This Row],[Kommune]],Table_Faktisk_antall_brukere[Kommune],0)),0)&lt;_xlfn.IFNA(INDEX(Table_Måltall[feb.25],MATCH(Table_Fakturering_antall_brukere[[#This Row],[Kommune]],Table_Måltall[Kommune],0)),0),_xlfn.IFNA(INDEX(Table_Måltall[feb.25],MATCH(Table_Fakturering_antall_brukere[[#This Row],[Kommune]],Table_Måltall[Kommune],0)),0),_xlfn.IFNA(INDEX(Table_Faktisk_antall_brukere[feb.25],MATCH(Table_Fakturering_antall_brukere[[#This Row],[Kommune]],Table_Faktisk_antall_brukere[Kommune],0)),0))</f>
        <v>6</v>
      </c>
      <c r="E11" s="77">
        <f>IF(_xlfn.IFNA(INDEX(Table_Faktisk_antall_brukere[mar.25],MATCH(Table_Fakturering_antall_brukere[[#This Row],[Kommune]],Table_Faktisk_antall_brukere[Kommune],0)),0)&lt;_xlfn.IFNA(INDEX(Table_Måltall[mar.25],MATCH(Table_Fakturering_antall_brukere[[#This Row],[Kommune]],Table_Måltall[Kommune],0)),0),_xlfn.IFNA(INDEX(Table_Måltall[mar.25],MATCH(Table_Fakturering_antall_brukere[[#This Row],[Kommune]],Table_Måltall[Kommune],0)),0),_xlfn.IFNA(INDEX(Table_Faktisk_antall_brukere[mar.25],MATCH(Table_Fakturering_antall_brukere[[#This Row],[Kommune]],Table_Faktisk_antall_brukere[Kommune],0)),0))</f>
        <v>6</v>
      </c>
      <c r="F11" s="77">
        <f>IF(_xlfn.IFNA(INDEX(Table_Faktisk_antall_brukere[apr.25],MATCH(Table_Fakturering_antall_brukere[[#This Row],[Kommune]],Table_Faktisk_antall_brukere[Kommune],0)),0)&lt;_xlfn.IFNA(INDEX(Table_Måltall[apr.25],MATCH(Table_Fakturering_antall_brukere[[#This Row],[Kommune]],Table_Måltall[Kommune],0)),0),_xlfn.IFNA(INDEX(Table_Måltall[apr.25],MATCH(Table_Fakturering_antall_brukere[[#This Row],[Kommune]],Table_Måltall[Kommune],0)),0),_xlfn.IFNA(INDEX(Table_Faktisk_antall_brukere[apr.25],MATCH(Table_Fakturering_antall_brukere[[#This Row],[Kommune]],Table_Faktisk_antall_brukere[Kommune],0)),0))</f>
        <v>6</v>
      </c>
      <c r="G11" s="77">
        <f>IF(_xlfn.IFNA(INDEX(Table_Faktisk_antall_brukere[mai.25],MATCH(Table_Fakturering_antall_brukere[[#This Row],[Kommune]],Table_Faktisk_antall_brukere[Kommune],0)),0)&lt;_xlfn.IFNA(INDEX(Table_Måltall[mai.25],MATCH(Table_Fakturering_antall_brukere[[#This Row],[Kommune]],Table_Måltall[Kommune],0)),0),_xlfn.IFNA(INDEX(Table_Måltall[mai.25],MATCH(Table_Fakturering_antall_brukere[[#This Row],[Kommune]],Table_Måltall[Kommune],0)),0),_xlfn.IFNA(INDEX(Table_Faktisk_antall_brukere[mai.25],MATCH(Table_Fakturering_antall_brukere[[#This Row],[Kommune]],Table_Faktisk_antall_brukere[Kommune],0)),0))</f>
        <v>6</v>
      </c>
      <c r="H11" s="77">
        <f>IF(_xlfn.IFNA(INDEX(Table_Faktisk_antall_brukere[jun.25],MATCH(Table_Fakturering_antall_brukere[[#This Row],[Kommune]],Table_Faktisk_antall_brukere[Kommune],0)),0)&lt;_xlfn.IFNA(INDEX(Table_Måltall[jun.25],MATCH(Table_Fakturering_antall_brukere[[#This Row],[Kommune]],Table_Måltall[Kommune],0)),0),_xlfn.IFNA(INDEX(Table_Måltall[jun.25],MATCH(Table_Fakturering_antall_brukere[[#This Row],[Kommune]],Table_Måltall[Kommune],0)),0),_xlfn.IFNA(INDEX(Table_Faktisk_antall_brukere[jun.25],MATCH(Table_Fakturering_antall_brukere[[#This Row],[Kommune]],Table_Faktisk_antall_brukere[Kommune],0)),0))</f>
        <v>6</v>
      </c>
      <c r="I11" s="77">
        <f>IF(_xlfn.IFNA(INDEX(Table_Faktisk_antall_brukere[jul.25],MATCH(Table_Fakturering_antall_brukere[[#This Row],[Kommune]],Table_Faktisk_antall_brukere[Kommune],0)),0)&lt;_xlfn.IFNA(INDEX(Table_Måltall[jul.25],MATCH(Table_Fakturering_antall_brukere[[#This Row],[Kommune]],Table_Måltall[Kommune],0)),0),_xlfn.IFNA(INDEX(Table_Måltall[jul.25],MATCH(Table_Fakturering_antall_brukere[[#This Row],[Kommune]],Table_Måltall[Kommune],0)),0),_xlfn.IFNA(INDEX(Table_Faktisk_antall_brukere[jul.25],MATCH(Table_Fakturering_antall_brukere[[#This Row],[Kommune]],Table_Faktisk_antall_brukere[Kommune],0)),0))</f>
        <v>6</v>
      </c>
      <c r="J11" s="77">
        <f>IF(_xlfn.IFNA(INDEX(Table_Faktisk_antall_brukere[aug.25],MATCH(Table_Fakturering_antall_brukere[[#This Row],[Kommune]],Table_Faktisk_antall_brukere[Kommune],0)),0)&lt;_xlfn.IFNA(INDEX(Table_Måltall[aug.25],MATCH(Table_Fakturering_antall_brukere[[#This Row],[Kommune]],Table_Måltall[Kommune],0)),0),_xlfn.IFNA(INDEX(Table_Måltall[aug.25],MATCH(Table_Fakturering_antall_brukere[[#This Row],[Kommune]],Table_Måltall[Kommune],0)),0),_xlfn.IFNA(INDEX(Table_Faktisk_antall_brukere[aug.25],MATCH(Table_Fakturering_antall_brukere[[#This Row],[Kommune]],Table_Faktisk_antall_brukere[Kommune],0)),0))</f>
        <v>6</v>
      </c>
      <c r="K11" s="77">
        <f>IF(_xlfn.IFNA(INDEX(Table_Faktisk_antall_brukere[sep.25],MATCH(Table_Fakturering_antall_brukere[[#This Row],[Kommune]],Table_Faktisk_antall_brukere[Kommune],0)),0)&lt;_xlfn.IFNA(INDEX(Table_Måltall[sep.25],MATCH(Table_Fakturering_antall_brukere[[#This Row],[Kommune]],Table_Måltall[Kommune],0)),0),_xlfn.IFNA(INDEX(Table_Måltall[sep.25],MATCH(Table_Fakturering_antall_brukere[[#This Row],[Kommune]],Table_Måltall[Kommune],0)),0),_xlfn.IFNA(INDEX(Table_Faktisk_antall_brukere[sep.25],MATCH(Table_Fakturering_antall_brukere[[#This Row],[Kommune]],Table_Faktisk_antall_brukere[Kommune],0)),0))</f>
        <v>6</v>
      </c>
      <c r="L11" s="77">
        <f>IF(_xlfn.IFNA(INDEX(Table_Faktisk_antall_brukere[okt.25],MATCH(Table_Fakturering_antall_brukere[[#This Row],[Kommune]],Table_Faktisk_antall_brukere[Kommune],0)),0)&lt;_xlfn.IFNA(INDEX(Table_Måltall[okt.25],MATCH(Table_Fakturering_antall_brukere[[#This Row],[Kommune]],Table_Måltall[Kommune],0)),0),_xlfn.IFNA(INDEX(Table_Måltall[okt.25],MATCH(Table_Fakturering_antall_brukere[[#This Row],[Kommune]],Table_Måltall[Kommune],0)),0),_xlfn.IFNA(INDEX(Table_Faktisk_antall_brukere[okt.25],MATCH(Table_Fakturering_antall_brukere[[#This Row],[Kommune]],Table_Faktisk_antall_brukere[Kommune],0)),0))</f>
        <v>6</v>
      </c>
      <c r="M11" s="77">
        <f>IF(_xlfn.IFNA(INDEX(Table_Faktisk_antall_brukere[nov.25],MATCH(Table_Fakturering_antall_brukere[[#This Row],[Kommune]],Table_Faktisk_antall_brukere[Kommune],0)),0)&lt;_xlfn.IFNA(INDEX(Table_Måltall[nov.25],MATCH(Table_Fakturering_antall_brukere[[#This Row],[Kommune]],Table_Måltall[Kommune],0)),0),_xlfn.IFNA(INDEX(Table_Måltall[nov.25],MATCH(Table_Fakturering_antall_brukere[[#This Row],[Kommune]],Table_Måltall[Kommune],0)),0),_xlfn.IFNA(INDEX(Table_Faktisk_antall_brukere[nov.25],MATCH(Table_Fakturering_antall_brukere[[#This Row],[Kommune]],Table_Faktisk_antall_brukere[Kommune],0)),0))</f>
        <v>6</v>
      </c>
      <c r="N11" s="77">
        <f>IF(_xlfn.IFNA(INDEX(Table_Faktisk_antall_brukere[des.25],MATCH(Table_Fakturering_antall_brukere[[#This Row],[Kommune]],Table_Faktisk_antall_brukere[Kommune],0)),0)&lt;_xlfn.IFNA(INDEX(Table_Måltall[des.25],MATCH(Table_Fakturering_antall_brukere[[#This Row],[Kommune]],Table_Måltall[Kommune],0)),0),_xlfn.IFNA(INDEX(Table_Måltall[des.25],MATCH(Table_Fakturering_antall_brukere[[#This Row],[Kommune]],Table_Måltall[Kommune],0)),0),_xlfn.IFNA(INDEX(Table_Faktisk_antall_brukere[des.25],MATCH(Table_Fakturering_antall_brukere[[#This Row],[Kommune]],Table_Faktisk_antall_brukere[Kommune],0)),0))</f>
        <v>6</v>
      </c>
      <c r="O11" s="3">
        <f>SUM(Table_Fakturering_antall_brukere[[#This Row],[jan.25]:[des.25]])</f>
        <v>72</v>
      </c>
      <c r="P11" s="21">
        <f>Table_Fakturering_antall_brukere[[#This Row],[Totalt 2025]]/COUNTIF(Table_Fakturering_antall_brukere[[#This Row],[jan.25]:[des.25]],"&gt;0")</f>
        <v>6</v>
      </c>
    </row>
    <row r="12" spans="2:16" ht="16.05" customHeight="1" x14ac:dyDescent="0.3">
      <c r="B12" s="93" t="s">
        <v>82</v>
      </c>
      <c r="C12" s="77">
        <f>IF(_xlfn.IFNA(INDEX(Table_Faktisk_antall_brukere[jan.25],MATCH(Table_Fakturering_antall_brukere[[#This Row],[Kommune]],Table_Faktisk_antall_brukere[Kommune],0)),0)&lt;_xlfn.IFNA(INDEX(Table_Måltall[jan.25],MATCH(Table_Fakturering_antall_brukere[[#This Row],[Kommune]],Table_Måltall[Kommune],0)),0),_xlfn.IFNA(INDEX(Table_Måltall[jan.25],MATCH(Table_Fakturering_antall_brukere[[#This Row],[Kommune]],Table_Måltall[Kommune],0)),0),_xlfn.IFNA(INDEX(Table_Faktisk_antall_brukere[jan.25],MATCH(Table_Fakturering_antall_brukere[[#This Row],[Kommune]],Table_Faktisk_antall_brukere[Kommune],0)),0))</f>
        <v>22</v>
      </c>
      <c r="D12" s="77">
        <f>IF(_xlfn.IFNA(INDEX(Table_Faktisk_antall_brukere[feb.25],MATCH(Table_Fakturering_antall_brukere[[#This Row],[Kommune]],Table_Faktisk_antall_brukere[Kommune],0)),0)&lt;_xlfn.IFNA(INDEX(Table_Måltall[feb.25],MATCH(Table_Fakturering_antall_brukere[[#This Row],[Kommune]],Table_Måltall[Kommune],0)),0),_xlfn.IFNA(INDEX(Table_Måltall[feb.25],MATCH(Table_Fakturering_antall_brukere[[#This Row],[Kommune]],Table_Måltall[Kommune],0)),0),_xlfn.IFNA(INDEX(Table_Faktisk_antall_brukere[feb.25],MATCH(Table_Fakturering_antall_brukere[[#This Row],[Kommune]],Table_Faktisk_antall_brukere[Kommune],0)),0))</f>
        <v>22</v>
      </c>
      <c r="E12" s="77">
        <f>IF(_xlfn.IFNA(INDEX(Table_Faktisk_antall_brukere[mar.25],MATCH(Table_Fakturering_antall_brukere[[#This Row],[Kommune]],Table_Faktisk_antall_brukere[Kommune],0)),0)&lt;_xlfn.IFNA(INDEX(Table_Måltall[mar.25],MATCH(Table_Fakturering_antall_brukere[[#This Row],[Kommune]],Table_Måltall[Kommune],0)),0),_xlfn.IFNA(INDEX(Table_Måltall[mar.25],MATCH(Table_Fakturering_antall_brukere[[#This Row],[Kommune]],Table_Måltall[Kommune],0)),0),_xlfn.IFNA(INDEX(Table_Faktisk_antall_brukere[mar.25],MATCH(Table_Fakturering_antall_brukere[[#This Row],[Kommune]],Table_Faktisk_antall_brukere[Kommune],0)),0))</f>
        <v>22</v>
      </c>
      <c r="F12" s="77">
        <f>IF(_xlfn.IFNA(INDEX(Table_Faktisk_antall_brukere[apr.25],MATCH(Table_Fakturering_antall_brukere[[#This Row],[Kommune]],Table_Faktisk_antall_brukere[Kommune],0)),0)&lt;_xlfn.IFNA(INDEX(Table_Måltall[apr.25],MATCH(Table_Fakturering_antall_brukere[[#This Row],[Kommune]],Table_Måltall[Kommune],0)),0),_xlfn.IFNA(INDEX(Table_Måltall[apr.25],MATCH(Table_Fakturering_antall_brukere[[#This Row],[Kommune]],Table_Måltall[Kommune],0)),0),_xlfn.IFNA(INDEX(Table_Faktisk_antall_brukere[apr.25],MATCH(Table_Fakturering_antall_brukere[[#This Row],[Kommune]],Table_Faktisk_antall_brukere[Kommune],0)),0))</f>
        <v>22</v>
      </c>
      <c r="G12" s="77">
        <f>IF(_xlfn.IFNA(INDEX(Table_Faktisk_antall_brukere[mai.25],MATCH(Table_Fakturering_antall_brukere[[#This Row],[Kommune]],Table_Faktisk_antall_brukere[Kommune],0)),0)&lt;_xlfn.IFNA(INDEX(Table_Måltall[mai.25],MATCH(Table_Fakturering_antall_brukere[[#This Row],[Kommune]],Table_Måltall[Kommune],0)),0),_xlfn.IFNA(INDEX(Table_Måltall[mai.25],MATCH(Table_Fakturering_antall_brukere[[#This Row],[Kommune]],Table_Måltall[Kommune],0)),0),_xlfn.IFNA(INDEX(Table_Faktisk_antall_brukere[mai.25],MATCH(Table_Fakturering_antall_brukere[[#This Row],[Kommune]],Table_Faktisk_antall_brukere[Kommune],0)),0))</f>
        <v>22</v>
      </c>
      <c r="H12" s="77">
        <f>IF(_xlfn.IFNA(INDEX(Table_Faktisk_antall_brukere[jun.25],MATCH(Table_Fakturering_antall_brukere[[#This Row],[Kommune]],Table_Faktisk_antall_brukere[Kommune],0)),0)&lt;_xlfn.IFNA(INDEX(Table_Måltall[jun.25],MATCH(Table_Fakturering_antall_brukere[[#This Row],[Kommune]],Table_Måltall[Kommune],0)),0),_xlfn.IFNA(INDEX(Table_Måltall[jun.25],MATCH(Table_Fakturering_antall_brukere[[#This Row],[Kommune]],Table_Måltall[Kommune],0)),0),_xlfn.IFNA(INDEX(Table_Faktisk_antall_brukere[jun.25],MATCH(Table_Fakturering_antall_brukere[[#This Row],[Kommune]],Table_Faktisk_antall_brukere[Kommune],0)),0))</f>
        <v>22</v>
      </c>
      <c r="I12" s="77">
        <f>IF(_xlfn.IFNA(INDEX(Table_Faktisk_antall_brukere[jul.25],MATCH(Table_Fakturering_antall_brukere[[#This Row],[Kommune]],Table_Faktisk_antall_brukere[Kommune],0)),0)&lt;_xlfn.IFNA(INDEX(Table_Måltall[jul.25],MATCH(Table_Fakturering_antall_brukere[[#This Row],[Kommune]],Table_Måltall[Kommune],0)),0),_xlfn.IFNA(INDEX(Table_Måltall[jul.25],MATCH(Table_Fakturering_antall_brukere[[#This Row],[Kommune]],Table_Måltall[Kommune],0)),0),_xlfn.IFNA(INDEX(Table_Faktisk_antall_brukere[jul.25],MATCH(Table_Fakturering_antall_brukere[[#This Row],[Kommune]],Table_Faktisk_antall_brukere[Kommune],0)),0))</f>
        <v>22</v>
      </c>
      <c r="J12" s="77">
        <f>IF(_xlfn.IFNA(INDEX(Table_Faktisk_antall_brukere[aug.25],MATCH(Table_Fakturering_antall_brukere[[#This Row],[Kommune]],Table_Faktisk_antall_brukere[Kommune],0)),0)&lt;_xlfn.IFNA(INDEX(Table_Måltall[aug.25],MATCH(Table_Fakturering_antall_brukere[[#This Row],[Kommune]],Table_Måltall[Kommune],0)),0),_xlfn.IFNA(INDEX(Table_Måltall[aug.25],MATCH(Table_Fakturering_antall_brukere[[#This Row],[Kommune]],Table_Måltall[Kommune],0)),0),_xlfn.IFNA(INDEX(Table_Faktisk_antall_brukere[aug.25],MATCH(Table_Fakturering_antall_brukere[[#This Row],[Kommune]],Table_Faktisk_antall_brukere[Kommune],0)),0))</f>
        <v>22</v>
      </c>
      <c r="K12" s="77">
        <f>IF(_xlfn.IFNA(INDEX(Table_Faktisk_antall_brukere[sep.25],MATCH(Table_Fakturering_antall_brukere[[#This Row],[Kommune]],Table_Faktisk_antall_brukere[Kommune],0)),0)&lt;_xlfn.IFNA(INDEX(Table_Måltall[sep.25],MATCH(Table_Fakturering_antall_brukere[[#This Row],[Kommune]],Table_Måltall[Kommune],0)),0),_xlfn.IFNA(INDEX(Table_Måltall[sep.25],MATCH(Table_Fakturering_antall_brukere[[#This Row],[Kommune]],Table_Måltall[Kommune],0)),0),_xlfn.IFNA(INDEX(Table_Faktisk_antall_brukere[sep.25],MATCH(Table_Fakturering_antall_brukere[[#This Row],[Kommune]],Table_Faktisk_antall_brukere[Kommune],0)),0))</f>
        <v>22</v>
      </c>
      <c r="L12" s="77">
        <f>IF(_xlfn.IFNA(INDEX(Table_Faktisk_antall_brukere[okt.25],MATCH(Table_Fakturering_antall_brukere[[#This Row],[Kommune]],Table_Faktisk_antall_brukere[Kommune],0)),0)&lt;_xlfn.IFNA(INDEX(Table_Måltall[okt.25],MATCH(Table_Fakturering_antall_brukere[[#This Row],[Kommune]],Table_Måltall[Kommune],0)),0),_xlfn.IFNA(INDEX(Table_Måltall[okt.25],MATCH(Table_Fakturering_antall_brukere[[#This Row],[Kommune]],Table_Måltall[Kommune],0)),0),_xlfn.IFNA(INDEX(Table_Faktisk_antall_brukere[okt.25],MATCH(Table_Fakturering_antall_brukere[[#This Row],[Kommune]],Table_Faktisk_antall_brukere[Kommune],0)),0))</f>
        <v>22</v>
      </c>
      <c r="M12" s="77">
        <f>IF(_xlfn.IFNA(INDEX(Table_Faktisk_antall_brukere[nov.25],MATCH(Table_Fakturering_antall_brukere[[#This Row],[Kommune]],Table_Faktisk_antall_brukere[Kommune],0)),0)&lt;_xlfn.IFNA(INDEX(Table_Måltall[nov.25],MATCH(Table_Fakturering_antall_brukere[[#This Row],[Kommune]],Table_Måltall[Kommune],0)),0),_xlfn.IFNA(INDEX(Table_Måltall[nov.25],MATCH(Table_Fakturering_antall_brukere[[#This Row],[Kommune]],Table_Måltall[Kommune],0)),0),_xlfn.IFNA(INDEX(Table_Faktisk_antall_brukere[nov.25],MATCH(Table_Fakturering_antall_brukere[[#This Row],[Kommune]],Table_Faktisk_antall_brukere[Kommune],0)),0))</f>
        <v>22</v>
      </c>
      <c r="N12" s="77">
        <f>IF(_xlfn.IFNA(INDEX(Table_Faktisk_antall_brukere[des.25],MATCH(Table_Fakturering_antall_brukere[[#This Row],[Kommune]],Table_Faktisk_antall_brukere[Kommune],0)),0)&lt;_xlfn.IFNA(INDEX(Table_Måltall[des.25],MATCH(Table_Fakturering_antall_brukere[[#This Row],[Kommune]],Table_Måltall[Kommune],0)),0),_xlfn.IFNA(INDEX(Table_Måltall[des.25],MATCH(Table_Fakturering_antall_brukere[[#This Row],[Kommune]],Table_Måltall[Kommune],0)),0),_xlfn.IFNA(INDEX(Table_Faktisk_antall_brukere[des.25],MATCH(Table_Fakturering_antall_brukere[[#This Row],[Kommune]],Table_Faktisk_antall_brukere[Kommune],0)),0))</f>
        <v>22</v>
      </c>
      <c r="O12" s="3">
        <f>SUM(Table_Fakturering_antall_brukere[[#This Row],[jan.25]:[des.25]])</f>
        <v>264</v>
      </c>
      <c r="P12" s="21">
        <f>Table_Fakturering_antall_brukere[[#This Row],[Totalt 2025]]/COUNTIF(Table_Fakturering_antall_brukere[[#This Row],[jan.25]:[des.25]],"&gt;0")</f>
        <v>22</v>
      </c>
    </row>
    <row r="13" spans="2:16" ht="16.05" customHeight="1" x14ac:dyDescent="0.3">
      <c r="B13" s="93" t="s">
        <v>83</v>
      </c>
      <c r="C13" s="77">
        <f>IF(_xlfn.IFNA(INDEX(Table_Faktisk_antall_brukere[jan.25],MATCH(Table_Fakturering_antall_brukere[[#This Row],[Kommune]],Table_Faktisk_antall_brukere[Kommune],0)),0)&lt;_xlfn.IFNA(INDEX(Table_Måltall[jan.25],MATCH(Table_Fakturering_antall_brukere[[#This Row],[Kommune]],Table_Måltall[Kommune],0)),0),_xlfn.IFNA(INDEX(Table_Måltall[jan.25],MATCH(Table_Fakturering_antall_brukere[[#This Row],[Kommune]],Table_Måltall[Kommune],0)),0),_xlfn.IFNA(INDEX(Table_Faktisk_antall_brukere[jan.25],MATCH(Table_Fakturering_antall_brukere[[#This Row],[Kommune]],Table_Faktisk_antall_brukere[Kommune],0)),0))</f>
        <v>8</v>
      </c>
      <c r="D13" s="77">
        <f>IF(_xlfn.IFNA(INDEX(Table_Faktisk_antall_brukere[feb.25],MATCH(Table_Fakturering_antall_brukere[[#This Row],[Kommune]],Table_Faktisk_antall_brukere[Kommune],0)),0)&lt;_xlfn.IFNA(INDEX(Table_Måltall[feb.25],MATCH(Table_Fakturering_antall_brukere[[#This Row],[Kommune]],Table_Måltall[Kommune],0)),0),_xlfn.IFNA(INDEX(Table_Måltall[feb.25],MATCH(Table_Fakturering_antall_brukere[[#This Row],[Kommune]],Table_Måltall[Kommune],0)),0),_xlfn.IFNA(INDEX(Table_Faktisk_antall_brukere[feb.25],MATCH(Table_Fakturering_antall_brukere[[#This Row],[Kommune]],Table_Faktisk_antall_brukere[Kommune],0)),0))</f>
        <v>8</v>
      </c>
      <c r="E13" s="77">
        <f>IF(_xlfn.IFNA(INDEX(Table_Faktisk_antall_brukere[mar.25],MATCH(Table_Fakturering_antall_brukere[[#This Row],[Kommune]],Table_Faktisk_antall_brukere[Kommune],0)),0)&lt;_xlfn.IFNA(INDEX(Table_Måltall[mar.25],MATCH(Table_Fakturering_antall_brukere[[#This Row],[Kommune]],Table_Måltall[Kommune],0)),0),_xlfn.IFNA(INDEX(Table_Måltall[mar.25],MATCH(Table_Fakturering_antall_brukere[[#This Row],[Kommune]],Table_Måltall[Kommune],0)),0),_xlfn.IFNA(INDEX(Table_Faktisk_antall_brukere[mar.25],MATCH(Table_Fakturering_antall_brukere[[#This Row],[Kommune]],Table_Faktisk_antall_brukere[Kommune],0)),0))</f>
        <v>8</v>
      </c>
      <c r="F13" s="77">
        <f>IF(_xlfn.IFNA(INDEX(Table_Faktisk_antall_brukere[apr.25],MATCH(Table_Fakturering_antall_brukere[[#This Row],[Kommune]],Table_Faktisk_antall_brukere[Kommune],0)),0)&lt;_xlfn.IFNA(INDEX(Table_Måltall[apr.25],MATCH(Table_Fakturering_antall_brukere[[#This Row],[Kommune]],Table_Måltall[Kommune],0)),0),_xlfn.IFNA(INDEX(Table_Måltall[apr.25],MATCH(Table_Fakturering_antall_brukere[[#This Row],[Kommune]],Table_Måltall[Kommune],0)),0),_xlfn.IFNA(INDEX(Table_Faktisk_antall_brukere[apr.25],MATCH(Table_Fakturering_antall_brukere[[#This Row],[Kommune]],Table_Faktisk_antall_brukere[Kommune],0)),0))</f>
        <v>8</v>
      </c>
      <c r="G13" s="77">
        <f>IF(_xlfn.IFNA(INDEX(Table_Faktisk_antall_brukere[mai.25],MATCH(Table_Fakturering_antall_brukere[[#This Row],[Kommune]],Table_Faktisk_antall_brukere[Kommune],0)),0)&lt;_xlfn.IFNA(INDEX(Table_Måltall[mai.25],MATCH(Table_Fakturering_antall_brukere[[#This Row],[Kommune]],Table_Måltall[Kommune],0)),0),_xlfn.IFNA(INDEX(Table_Måltall[mai.25],MATCH(Table_Fakturering_antall_brukere[[#This Row],[Kommune]],Table_Måltall[Kommune],0)),0),_xlfn.IFNA(INDEX(Table_Faktisk_antall_brukere[mai.25],MATCH(Table_Fakturering_antall_brukere[[#This Row],[Kommune]],Table_Faktisk_antall_brukere[Kommune],0)),0))</f>
        <v>8</v>
      </c>
      <c r="H13" s="77">
        <f>IF(_xlfn.IFNA(INDEX(Table_Faktisk_antall_brukere[jun.25],MATCH(Table_Fakturering_antall_brukere[[#This Row],[Kommune]],Table_Faktisk_antall_brukere[Kommune],0)),0)&lt;_xlfn.IFNA(INDEX(Table_Måltall[jun.25],MATCH(Table_Fakturering_antall_brukere[[#This Row],[Kommune]],Table_Måltall[Kommune],0)),0),_xlfn.IFNA(INDEX(Table_Måltall[jun.25],MATCH(Table_Fakturering_antall_brukere[[#This Row],[Kommune]],Table_Måltall[Kommune],0)),0),_xlfn.IFNA(INDEX(Table_Faktisk_antall_brukere[jun.25],MATCH(Table_Fakturering_antall_brukere[[#This Row],[Kommune]],Table_Faktisk_antall_brukere[Kommune],0)),0))</f>
        <v>8</v>
      </c>
      <c r="I13" s="77">
        <f>IF(_xlfn.IFNA(INDEX(Table_Faktisk_antall_brukere[jul.25],MATCH(Table_Fakturering_antall_brukere[[#This Row],[Kommune]],Table_Faktisk_antall_brukere[Kommune],0)),0)&lt;_xlfn.IFNA(INDEX(Table_Måltall[jul.25],MATCH(Table_Fakturering_antall_brukere[[#This Row],[Kommune]],Table_Måltall[Kommune],0)),0),_xlfn.IFNA(INDEX(Table_Måltall[jul.25],MATCH(Table_Fakturering_antall_brukere[[#This Row],[Kommune]],Table_Måltall[Kommune],0)),0),_xlfn.IFNA(INDEX(Table_Faktisk_antall_brukere[jul.25],MATCH(Table_Fakturering_antall_brukere[[#This Row],[Kommune]],Table_Faktisk_antall_brukere[Kommune],0)),0))</f>
        <v>8</v>
      </c>
      <c r="J13" s="77">
        <f>IF(_xlfn.IFNA(INDEX(Table_Faktisk_antall_brukere[aug.25],MATCH(Table_Fakturering_antall_brukere[[#This Row],[Kommune]],Table_Faktisk_antall_brukere[Kommune],0)),0)&lt;_xlfn.IFNA(INDEX(Table_Måltall[aug.25],MATCH(Table_Fakturering_antall_brukere[[#This Row],[Kommune]],Table_Måltall[Kommune],0)),0),_xlfn.IFNA(INDEX(Table_Måltall[aug.25],MATCH(Table_Fakturering_antall_brukere[[#This Row],[Kommune]],Table_Måltall[Kommune],0)),0),_xlfn.IFNA(INDEX(Table_Faktisk_antall_brukere[aug.25],MATCH(Table_Fakturering_antall_brukere[[#This Row],[Kommune]],Table_Faktisk_antall_brukere[Kommune],0)),0))</f>
        <v>8</v>
      </c>
      <c r="K13" s="77">
        <f>IF(_xlfn.IFNA(INDEX(Table_Faktisk_antall_brukere[sep.25],MATCH(Table_Fakturering_antall_brukere[[#This Row],[Kommune]],Table_Faktisk_antall_brukere[Kommune],0)),0)&lt;_xlfn.IFNA(INDEX(Table_Måltall[sep.25],MATCH(Table_Fakturering_antall_brukere[[#This Row],[Kommune]],Table_Måltall[Kommune],0)),0),_xlfn.IFNA(INDEX(Table_Måltall[sep.25],MATCH(Table_Fakturering_antall_brukere[[#This Row],[Kommune]],Table_Måltall[Kommune],0)),0),_xlfn.IFNA(INDEX(Table_Faktisk_antall_brukere[sep.25],MATCH(Table_Fakturering_antall_brukere[[#This Row],[Kommune]],Table_Faktisk_antall_brukere[Kommune],0)),0))</f>
        <v>8</v>
      </c>
      <c r="L13" s="77">
        <f>IF(_xlfn.IFNA(INDEX(Table_Faktisk_antall_brukere[okt.25],MATCH(Table_Fakturering_antall_brukere[[#This Row],[Kommune]],Table_Faktisk_antall_brukere[Kommune],0)),0)&lt;_xlfn.IFNA(INDEX(Table_Måltall[okt.25],MATCH(Table_Fakturering_antall_brukere[[#This Row],[Kommune]],Table_Måltall[Kommune],0)),0),_xlfn.IFNA(INDEX(Table_Måltall[okt.25],MATCH(Table_Fakturering_antall_brukere[[#This Row],[Kommune]],Table_Måltall[Kommune],0)),0),_xlfn.IFNA(INDEX(Table_Faktisk_antall_brukere[okt.25],MATCH(Table_Fakturering_antall_brukere[[#This Row],[Kommune]],Table_Faktisk_antall_brukere[Kommune],0)),0))</f>
        <v>8</v>
      </c>
      <c r="M13" s="77">
        <f>IF(_xlfn.IFNA(INDEX(Table_Faktisk_antall_brukere[nov.25],MATCH(Table_Fakturering_antall_brukere[[#This Row],[Kommune]],Table_Faktisk_antall_brukere[Kommune],0)),0)&lt;_xlfn.IFNA(INDEX(Table_Måltall[nov.25],MATCH(Table_Fakturering_antall_brukere[[#This Row],[Kommune]],Table_Måltall[Kommune],0)),0),_xlfn.IFNA(INDEX(Table_Måltall[nov.25],MATCH(Table_Fakturering_antall_brukere[[#This Row],[Kommune]],Table_Måltall[Kommune],0)),0),_xlfn.IFNA(INDEX(Table_Faktisk_antall_brukere[nov.25],MATCH(Table_Fakturering_antall_brukere[[#This Row],[Kommune]],Table_Faktisk_antall_brukere[Kommune],0)),0))</f>
        <v>8</v>
      </c>
      <c r="N13" s="77">
        <f>IF(_xlfn.IFNA(INDEX(Table_Faktisk_antall_brukere[des.25],MATCH(Table_Fakturering_antall_brukere[[#This Row],[Kommune]],Table_Faktisk_antall_brukere[Kommune],0)),0)&lt;_xlfn.IFNA(INDEX(Table_Måltall[des.25],MATCH(Table_Fakturering_antall_brukere[[#This Row],[Kommune]],Table_Måltall[Kommune],0)),0),_xlfn.IFNA(INDEX(Table_Måltall[des.25],MATCH(Table_Fakturering_antall_brukere[[#This Row],[Kommune]],Table_Måltall[Kommune],0)),0),_xlfn.IFNA(INDEX(Table_Faktisk_antall_brukere[des.25],MATCH(Table_Fakturering_antall_brukere[[#This Row],[Kommune]],Table_Faktisk_antall_brukere[Kommune],0)),0))</f>
        <v>8</v>
      </c>
      <c r="O13" s="3">
        <f>SUM(Table_Fakturering_antall_brukere[[#This Row],[jan.25]:[des.25]])</f>
        <v>96</v>
      </c>
      <c r="P13" s="21">
        <f>Table_Fakturering_antall_brukere[[#This Row],[Totalt 2025]]/COUNTIF(Table_Fakturering_antall_brukere[[#This Row],[jan.25]:[des.25]],"&gt;0")</f>
        <v>8</v>
      </c>
    </row>
    <row r="14" spans="2:16" ht="16.05" customHeight="1" x14ac:dyDescent="0.3">
      <c r="B14" s="93" t="s">
        <v>84</v>
      </c>
      <c r="C14" s="77">
        <f>IF(_xlfn.IFNA(INDEX(Table_Faktisk_antall_brukere[jan.25],MATCH(Table_Fakturering_antall_brukere[[#This Row],[Kommune]],Table_Faktisk_antall_brukere[Kommune],0)),0)&lt;_xlfn.IFNA(INDEX(Table_Måltall[jan.25],MATCH(Table_Fakturering_antall_brukere[[#This Row],[Kommune]],Table_Måltall[Kommune],0)),0),_xlfn.IFNA(INDEX(Table_Måltall[jan.25],MATCH(Table_Fakturering_antall_brukere[[#This Row],[Kommune]],Table_Måltall[Kommune],0)),0),_xlfn.IFNA(INDEX(Table_Faktisk_antall_brukere[jan.25],MATCH(Table_Fakturering_antall_brukere[[#This Row],[Kommune]],Table_Faktisk_antall_brukere[Kommune],0)),0))</f>
        <v>12</v>
      </c>
      <c r="D14" s="77">
        <f>IF(_xlfn.IFNA(INDEX(Table_Faktisk_antall_brukere[feb.25],MATCH(Table_Fakturering_antall_brukere[[#This Row],[Kommune]],Table_Faktisk_antall_brukere[Kommune],0)),0)&lt;_xlfn.IFNA(INDEX(Table_Måltall[feb.25],MATCH(Table_Fakturering_antall_brukere[[#This Row],[Kommune]],Table_Måltall[Kommune],0)),0),_xlfn.IFNA(INDEX(Table_Måltall[feb.25],MATCH(Table_Fakturering_antall_brukere[[#This Row],[Kommune]],Table_Måltall[Kommune],0)),0),_xlfn.IFNA(INDEX(Table_Faktisk_antall_brukere[feb.25],MATCH(Table_Fakturering_antall_brukere[[#This Row],[Kommune]],Table_Faktisk_antall_brukere[Kommune],0)),0))</f>
        <v>12</v>
      </c>
      <c r="E14" s="77">
        <f>IF(_xlfn.IFNA(INDEX(Table_Faktisk_antall_brukere[mar.25],MATCH(Table_Fakturering_antall_brukere[[#This Row],[Kommune]],Table_Faktisk_antall_brukere[Kommune],0)),0)&lt;_xlfn.IFNA(INDEX(Table_Måltall[mar.25],MATCH(Table_Fakturering_antall_brukere[[#This Row],[Kommune]],Table_Måltall[Kommune],0)),0),_xlfn.IFNA(INDEX(Table_Måltall[mar.25],MATCH(Table_Fakturering_antall_brukere[[#This Row],[Kommune]],Table_Måltall[Kommune],0)),0),_xlfn.IFNA(INDEX(Table_Faktisk_antall_brukere[mar.25],MATCH(Table_Fakturering_antall_brukere[[#This Row],[Kommune]],Table_Faktisk_antall_brukere[Kommune],0)),0))</f>
        <v>12</v>
      </c>
      <c r="F14" s="77">
        <f>IF(_xlfn.IFNA(INDEX(Table_Faktisk_antall_brukere[apr.25],MATCH(Table_Fakturering_antall_brukere[[#This Row],[Kommune]],Table_Faktisk_antall_brukere[Kommune],0)),0)&lt;_xlfn.IFNA(INDEX(Table_Måltall[apr.25],MATCH(Table_Fakturering_antall_brukere[[#This Row],[Kommune]],Table_Måltall[Kommune],0)),0),_xlfn.IFNA(INDEX(Table_Måltall[apr.25],MATCH(Table_Fakturering_antall_brukere[[#This Row],[Kommune]],Table_Måltall[Kommune],0)),0),_xlfn.IFNA(INDEX(Table_Faktisk_antall_brukere[apr.25],MATCH(Table_Fakturering_antall_brukere[[#This Row],[Kommune]],Table_Faktisk_antall_brukere[Kommune],0)),0))</f>
        <v>12</v>
      </c>
      <c r="G14" s="77">
        <f>IF(_xlfn.IFNA(INDEX(Table_Faktisk_antall_brukere[mai.25],MATCH(Table_Fakturering_antall_brukere[[#This Row],[Kommune]],Table_Faktisk_antall_brukere[Kommune],0)),0)&lt;_xlfn.IFNA(INDEX(Table_Måltall[mai.25],MATCH(Table_Fakturering_antall_brukere[[#This Row],[Kommune]],Table_Måltall[Kommune],0)),0),_xlfn.IFNA(INDEX(Table_Måltall[mai.25],MATCH(Table_Fakturering_antall_brukere[[#This Row],[Kommune]],Table_Måltall[Kommune],0)),0),_xlfn.IFNA(INDEX(Table_Faktisk_antall_brukere[mai.25],MATCH(Table_Fakturering_antall_brukere[[#This Row],[Kommune]],Table_Faktisk_antall_brukere[Kommune],0)),0))</f>
        <v>12</v>
      </c>
      <c r="H14" s="77">
        <f>IF(_xlfn.IFNA(INDEX(Table_Faktisk_antall_brukere[jun.25],MATCH(Table_Fakturering_antall_brukere[[#This Row],[Kommune]],Table_Faktisk_antall_brukere[Kommune],0)),0)&lt;_xlfn.IFNA(INDEX(Table_Måltall[jun.25],MATCH(Table_Fakturering_antall_brukere[[#This Row],[Kommune]],Table_Måltall[Kommune],0)),0),_xlfn.IFNA(INDEX(Table_Måltall[jun.25],MATCH(Table_Fakturering_antall_brukere[[#This Row],[Kommune]],Table_Måltall[Kommune],0)),0),_xlfn.IFNA(INDEX(Table_Faktisk_antall_brukere[jun.25],MATCH(Table_Fakturering_antall_brukere[[#This Row],[Kommune]],Table_Faktisk_antall_brukere[Kommune],0)),0))</f>
        <v>12</v>
      </c>
      <c r="I14" s="77">
        <f>IF(_xlfn.IFNA(INDEX(Table_Faktisk_antall_brukere[jul.25],MATCH(Table_Fakturering_antall_brukere[[#This Row],[Kommune]],Table_Faktisk_antall_brukere[Kommune],0)),0)&lt;_xlfn.IFNA(INDEX(Table_Måltall[jul.25],MATCH(Table_Fakturering_antall_brukere[[#This Row],[Kommune]],Table_Måltall[Kommune],0)),0),_xlfn.IFNA(INDEX(Table_Måltall[jul.25],MATCH(Table_Fakturering_antall_brukere[[#This Row],[Kommune]],Table_Måltall[Kommune],0)),0),_xlfn.IFNA(INDEX(Table_Faktisk_antall_brukere[jul.25],MATCH(Table_Fakturering_antall_brukere[[#This Row],[Kommune]],Table_Faktisk_antall_brukere[Kommune],0)),0))</f>
        <v>12</v>
      </c>
      <c r="J14" s="77">
        <f>IF(_xlfn.IFNA(INDEX(Table_Faktisk_antall_brukere[aug.25],MATCH(Table_Fakturering_antall_brukere[[#This Row],[Kommune]],Table_Faktisk_antall_brukere[Kommune],0)),0)&lt;_xlfn.IFNA(INDEX(Table_Måltall[aug.25],MATCH(Table_Fakturering_antall_brukere[[#This Row],[Kommune]],Table_Måltall[Kommune],0)),0),_xlfn.IFNA(INDEX(Table_Måltall[aug.25],MATCH(Table_Fakturering_antall_brukere[[#This Row],[Kommune]],Table_Måltall[Kommune],0)),0),_xlfn.IFNA(INDEX(Table_Faktisk_antall_brukere[aug.25],MATCH(Table_Fakturering_antall_brukere[[#This Row],[Kommune]],Table_Faktisk_antall_brukere[Kommune],0)),0))</f>
        <v>12</v>
      </c>
      <c r="K14" s="77">
        <f>IF(_xlfn.IFNA(INDEX(Table_Faktisk_antall_brukere[sep.25],MATCH(Table_Fakturering_antall_brukere[[#This Row],[Kommune]],Table_Faktisk_antall_brukere[Kommune],0)),0)&lt;_xlfn.IFNA(INDEX(Table_Måltall[sep.25],MATCH(Table_Fakturering_antall_brukere[[#This Row],[Kommune]],Table_Måltall[Kommune],0)),0),_xlfn.IFNA(INDEX(Table_Måltall[sep.25],MATCH(Table_Fakturering_antall_brukere[[#This Row],[Kommune]],Table_Måltall[Kommune],0)),0),_xlfn.IFNA(INDEX(Table_Faktisk_antall_brukere[sep.25],MATCH(Table_Fakturering_antall_brukere[[#This Row],[Kommune]],Table_Faktisk_antall_brukere[Kommune],0)),0))</f>
        <v>12</v>
      </c>
      <c r="L14" s="77">
        <f>IF(_xlfn.IFNA(INDEX(Table_Faktisk_antall_brukere[okt.25],MATCH(Table_Fakturering_antall_brukere[[#This Row],[Kommune]],Table_Faktisk_antall_brukere[Kommune],0)),0)&lt;_xlfn.IFNA(INDEX(Table_Måltall[okt.25],MATCH(Table_Fakturering_antall_brukere[[#This Row],[Kommune]],Table_Måltall[Kommune],0)),0),_xlfn.IFNA(INDEX(Table_Måltall[okt.25],MATCH(Table_Fakturering_antall_brukere[[#This Row],[Kommune]],Table_Måltall[Kommune],0)),0),_xlfn.IFNA(INDEX(Table_Faktisk_antall_brukere[okt.25],MATCH(Table_Fakturering_antall_brukere[[#This Row],[Kommune]],Table_Faktisk_antall_brukere[Kommune],0)),0))</f>
        <v>12</v>
      </c>
      <c r="M14" s="77">
        <f>IF(_xlfn.IFNA(INDEX(Table_Faktisk_antall_brukere[nov.25],MATCH(Table_Fakturering_antall_brukere[[#This Row],[Kommune]],Table_Faktisk_antall_brukere[Kommune],0)),0)&lt;_xlfn.IFNA(INDEX(Table_Måltall[nov.25],MATCH(Table_Fakturering_antall_brukere[[#This Row],[Kommune]],Table_Måltall[Kommune],0)),0),_xlfn.IFNA(INDEX(Table_Måltall[nov.25],MATCH(Table_Fakturering_antall_brukere[[#This Row],[Kommune]],Table_Måltall[Kommune],0)),0),_xlfn.IFNA(INDEX(Table_Faktisk_antall_brukere[nov.25],MATCH(Table_Fakturering_antall_brukere[[#This Row],[Kommune]],Table_Faktisk_antall_brukere[Kommune],0)),0))</f>
        <v>12</v>
      </c>
      <c r="N14" s="77">
        <f>IF(_xlfn.IFNA(INDEX(Table_Faktisk_antall_brukere[des.25],MATCH(Table_Fakturering_antall_brukere[[#This Row],[Kommune]],Table_Faktisk_antall_brukere[Kommune],0)),0)&lt;_xlfn.IFNA(INDEX(Table_Måltall[des.25],MATCH(Table_Fakturering_antall_brukere[[#This Row],[Kommune]],Table_Måltall[Kommune],0)),0),_xlfn.IFNA(INDEX(Table_Måltall[des.25],MATCH(Table_Fakturering_antall_brukere[[#This Row],[Kommune]],Table_Måltall[Kommune],0)),0),_xlfn.IFNA(INDEX(Table_Faktisk_antall_brukere[des.25],MATCH(Table_Fakturering_antall_brukere[[#This Row],[Kommune]],Table_Faktisk_antall_brukere[Kommune],0)),0))</f>
        <v>12</v>
      </c>
      <c r="O14" s="3">
        <f>SUM(Table_Fakturering_antall_brukere[[#This Row],[jan.25]:[des.25]])</f>
        <v>144</v>
      </c>
      <c r="P14" s="21">
        <f>Table_Fakturering_antall_brukere[[#This Row],[Totalt 2025]]/COUNTIF(Table_Fakturering_antall_brukere[[#This Row],[jan.25]:[des.25]],"&gt;0")</f>
        <v>12</v>
      </c>
    </row>
    <row r="15" spans="2:16" ht="16.05" customHeight="1" x14ac:dyDescent="0.3">
      <c r="B15" s="93" t="s">
        <v>85</v>
      </c>
      <c r="C15" s="77">
        <f>IF(_xlfn.IFNA(INDEX(Table_Faktisk_antall_brukere[jan.25],MATCH(Table_Fakturering_antall_brukere[[#This Row],[Kommune]],Table_Faktisk_antall_brukere[Kommune],0)),0)&lt;_xlfn.IFNA(INDEX(Table_Måltall[jan.25],MATCH(Table_Fakturering_antall_brukere[[#This Row],[Kommune]],Table_Måltall[Kommune],0)),0),_xlfn.IFNA(INDEX(Table_Måltall[jan.25],MATCH(Table_Fakturering_antall_brukere[[#This Row],[Kommune]],Table_Måltall[Kommune],0)),0),_xlfn.IFNA(INDEX(Table_Faktisk_antall_brukere[jan.25],MATCH(Table_Fakturering_antall_brukere[[#This Row],[Kommune]],Table_Faktisk_antall_brukere[Kommune],0)),0))</f>
        <v>15</v>
      </c>
      <c r="D15" s="77">
        <f>IF(_xlfn.IFNA(INDEX(Table_Faktisk_antall_brukere[feb.25],MATCH(Table_Fakturering_antall_brukere[[#This Row],[Kommune]],Table_Faktisk_antall_brukere[Kommune],0)),0)&lt;_xlfn.IFNA(INDEX(Table_Måltall[feb.25],MATCH(Table_Fakturering_antall_brukere[[#This Row],[Kommune]],Table_Måltall[Kommune],0)),0),_xlfn.IFNA(INDEX(Table_Måltall[feb.25],MATCH(Table_Fakturering_antall_brukere[[#This Row],[Kommune]],Table_Måltall[Kommune],0)),0),_xlfn.IFNA(INDEX(Table_Faktisk_antall_brukere[feb.25],MATCH(Table_Fakturering_antall_brukere[[#This Row],[Kommune]],Table_Faktisk_antall_brukere[Kommune],0)),0))</f>
        <v>15</v>
      </c>
      <c r="E15" s="77">
        <f>IF(_xlfn.IFNA(INDEX(Table_Faktisk_antall_brukere[mar.25],MATCH(Table_Fakturering_antall_brukere[[#This Row],[Kommune]],Table_Faktisk_antall_brukere[Kommune],0)),0)&lt;_xlfn.IFNA(INDEX(Table_Måltall[mar.25],MATCH(Table_Fakturering_antall_brukere[[#This Row],[Kommune]],Table_Måltall[Kommune],0)),0),_xlfn.IFNA(INDEX(Table_Måltall[mar.25],MATCH(Table_Fakturering_antall_brukere[[#This Row],[Kommune]],Table_Måltall[Kommune],0)),0),_xlfn.IFNA(INDEX(Table_Faktisk_antall_brukere[mar.25],MATCH(Table_Fakturering_antall_brukere[[#This Row],[Kommune]],Table_Faktisk_antall_brukere[Kommune],0)),0))</f>
        <v>15</v>
      </c>
      <c r="F15" s="77">
        <f>IF(_xlfn.IFNA(INDEX(Table_Faktisk_antall_brukere[apr.25],MATCH(Table_Fakturering_antall_brukere[[#This Row],[Kommune]],Table_Faktisk_antall_brukere[Kommune],0)),0)&lt;_xlfn.IFNA(INDEX(Table_Måltall[apr.25],MATCH(Table_Fakturering_antall_brukere[[#This Row],[Kommune]],Table_Måltall[Kommune],0)),0),_xlfn.IFNA(INDEX(Table_Måltall[apr.25],MATCH(Table_Fakturering_antall_brukere[[#This Row],[Kommune]],Table_Måltall[Kommune],0)),0),_xlfn.IFNA(INDEX(Table_Faktisk_antall_brukere[apr.25],MATCH(Table_Fakturering_antall_brukere[[#This Row],[Kommune]],Table_Faktisk_antall_brukere[Kommune],0)),0))</f>
        <v>15</v>
      </c>
      <c r="G15" s="77">
        <f>IF(_xlfn.IFNA(INDEX(Table_Faktisk_antall_brukere[mai.25],MATCH(Table_Fakturering_antall_brukere[[#This Row],[Kommune]],Table_Faktisk_antall_brukere[Kommune],0)),0)&lt;_xlfn.IFNA(INDEX(Table_Måltall[mai.25],MATCH(Table_Fakturering_antall_brukere[[#This Row],[Kommune]],Table_Måltall[Kommune],0)),0),_xlfn.IFNA(INDEX(Table_Måltall[mai.25],MATCH(Table_Fakturering_antall_brukere[[#This Row],[Kommune]],Table_Måltall[Kommune],0)),0),_xlfn.IFNA(INDEX(Table_Faktisk_antall_brukere[mai.25],MATCH(Table_Fakturering_antall_brukere[[#This Row],[Kommune]],Table_Faktisk_antall_brukere[Kommune],0)),0))</f>
        <v>15</v>
      </c>
      <c r="H15" s="77">
        <f>IF(_xlfn.IFNA(INDEX(Table_Faktisk_antall_brukere[jun.25],MATCH(Table_Fakturering_antall_brukere[[#This Row],[Kommune]],Table_Faktisk_antall_brukere[Kommune],0)),0)&lt;_xlfn.IFNA(INDEX(Table_Måltall[jun.25],MATCH(Table_Fakturering_antall_brukere[[#This Row],[Kommune]],Table_Måltall[Kommune],0)),0),_xlfn.IFNA(INDEX(Table_Måltall[jun.25],MATCH(Table_Fakturering_antall_brukere[[#This Row],[Kommune]],Table_Måltall[Kommune],0)),0),_xlfn.IFNA(INDEX(Table_Faktisk_antall_brukere[jun.25],MATCH(Table_Fakturering_antall_brukere[[#This Row],[Kommune]],Table_Faktisk_antall_brukere[Kommune],0)),0))</f>
        <v>15</v>
      </c>
      <c r="I15" s="77">
        <f>IF(_xlfn.IFNA(INDEX(Table_Faktisk_antall_brukere[jul.25],MATCH(Table_Fakturering_antall_brukere[[#This Row],[Kommune]],Table_Faktisk_antall_brukere[Kommune],0)),0)&lt;_xlfn.IFNA(INDEX(Table_Måltall[jul.25],MATCH(Table_Fakturering_antall_brukere[[#This Row],[Kommune]],Table_Måltall[Kommune],0)),0),_xlfn.IFNA(INDEX(Table_Måltall[jul.25],MATCH(Table_Fakturering_antall_brukere[[#This Row],[Kommune]],Table_Måltall[Kommune],0)),0),_xlfn.IFNA(INDEX(Table_Faktisk_antall_brukere[jul.25],MATCH(Table_Fakturering_antall_brukere[[#This Row],[Kommune]],Table_Faktisk_antall_brukere[Kommune],0)),0))</f>
        <v>15</v>
      </c>
      <c r="J15" s="77">
        <f>IF(_xlfn.IFNA(INDEX(Table_Faktisk_antall_brukere[aug.25],MATCH(Table_Fakturering_antall_brukere[[#This Row],[Kommune]],Table_Faktisk_antall_brukere[Kommune],0)),0)&lt;_xlfn.IFNA(INDEX(Table_Måltall[aug.25],MATCH(Table_Fakturering_antall_brukere[[#This Row],[Kommune]],Table_Måltall[Kommune],0)),0),_xlfn.IFNA(INDEX(Table_Måltall[aug.25],MATCH(Table_Fakturering_antall_brukere[[#This Row],[Kommune]],Table_Måltall[Kommune],0)),0),_xlfn.IFNA(INDEX(Table_Faktisk_antall_brukere[aug.25],MATCH(Table_Fakturering_antall_brukere[[#This Row],[Kommune]],Table_Faktisk_antall_brukere[Kommune],0)),0))</f>
        <v>15</v>
      </c>
      <c r="K15" s="77">
        <f>IF(_xlfn.IFNA(INDEX(Table_Faktisk_antall_brukere[sep.25],MATCH(Table_Fakturering_antall_brukere[[#This Row],[Kommune]],Table_Faktisk_antall_brukere[Kommune],0)),0)&lt;_xlfn.IFNA(INDEX(Table_Måltall[sep.25],MATCH(Table_Fakturering_antall_brukere[[#This Row],[Kommune]],Table_Måltall[Kommune],0)),0),_xlfn.IFNA(INDEX(Table_Måltall[sep.25],MATCH(Table_Fakturering_antall_brukere[[#This Row],[Kommune]],Table_Måltall[Kommune],0)),0),_xlfn.IFNA(INDEX(Table_Faktisk_antall_brukere[sep.25],MATCH(Table_Fakturering_antall_brukere[[#This Row],[Kommune]],Table_Faktisk_antall_brukere[Kommune],0)),0))</f>
        <v>15</v>
      </c>
      <c r="L15" s="77">
        <f>IF(_xlfn.IFNA(INDEX(Table_Faktisk_antall_brukere[okt.25],MATCH(Table_Fakturering_antall_brukere[[#This Row],[Kommune]],Table_Faktisk_antall_brukere[Kommune],0)),0)&lt;_xlfn.IFNA(INDEX(Table_Måltall[okt.25],MATCH(Table_Fakturering_antall_brukere[[#This Row],[Kommune]],Table_Måltall[Kommune],0)),0),_xlfn.IFNA(INDEX(Table_Måltall[okt.25],MATCH(Table_Fakturering_antall_brukere[[#This Row],[Kommune]],Table_Måltall[Kommune],0)),0),_xlfn.IFNA(INDEX(Table_Faktisk_antall_brukere[okt.25],MATCH(Table_Fakturering_antall_brukere[[#This Row],[Kommune]],Table_Faktisk_antall_brukere[Kommune],0)),0))</f>
        <v>15</v>
      </c>
      <c r="M15" s="77">
        <f>IF(_xlfn.IFNA(INDEX(Table_Faktisk_antall_brukere[nov.25],MATCH(Table_Fakturering_antall_brukere[[#This Row],[Kommune]],Table_Faktisk_antall_brukere[Kommune],0)),0)&lt;_xlfn.IFNA(INDEX(Table_Måltall[nov.25],MATCH(Table_Fakturering_antall_brukere[[#This Row],[Kommune]],Table_Måltall[Kommune],0)),0),_xlfn.IFNA(INDEX(Table_Måltall[nov.25],MATCH(Table_Fakturering_antall_brukere[[#This Row],[Kommune]],Table_Måltall[Kommune],0)),0),_xlfn.IFNA(INDEX(Table_Faktisk_antall_brukere[nov.25],MATCH(Table_Fakturering_antall_brukere[[#This Row],[Kommune]],Table_Faktisk_antall_brukere[Kommune],0)),0))</f>
        <v>15</v>
      </c>
      <c r="N15" s="77">
        <f>IF(_xlfn.IFNA(INDEX(Table_Faktisk_antall_brukere[des.25],MATCH(Table_Fakturering_antall_brukere[[#This Row],[Kommune]],Table_Faktisk_antall_brukere[Kommune],0)),0)&lt;_xlfn.IFNA(INDEX(Table_Måltall[des.25],MATCH(Table_Fakturering_antall_brukere[[#This Row],[Kommune]],Table_Måltall[Kommune],0)),0),_xlfn.IFNA(INDEX(Table_Måltall[des.25],MATCH(Table_Fakturering_antall_brukere[[#This Row],[Kommune]],Table_Måltall[Kommune],0)),0),_xlfn.IFNA(INDEX(Table_Faktisk_antall_brukere[des.25],MATCH(Table_Fakturering_antall_brukere[[#This Row],[Kommune]],Table_Faktisk_antall_brukere[Kommune],0)),0))</f>
        <v>15</v>
      </c>
      <c r="O15" s="3">
        <f>SUM(Table_Fakturering_antall_brukere[[#This Row],[jan.25]:[des.25]])</f>
        <v>180</v>
      </c>
      <c r="P15" s="21">
        <f>Table_Fakturering_antall_brukere[[#This Row],[Totalt 2025]]/COUNTIF(Table_Fakturering_antall_brukere[[#This Row],[jan.25]:[des.25]],"&gt;0")</f>
        <v>15</v>
      </c>
    </row>
    <row r="16" spans="2:16" ht="16.05" customHeight="1" x14ac:dyDescent="0.3">
      <c r="B16" s="93" t="s">
        <v>86</v>
      </c>
      <c r="C16" s="77">
        <f>IF(_xlfn.IFNA(INDEX(Table_Faktisk_antall_brukere[jan.25],MATCH(Table_Fakturering_antall_brukere[[#This Row],[Kommune]],Table_Faktisk_antall_brukere[Kommune],0)),0)&lt;_xlfn.IFNA(INDEX(Table_Måltall[jan.25],MATCH(Table_Fakturering_antall_brukere[[#This Row],[Kommune]],Table_Måltall[Kommune],0)),0),_xlfn.IFNA(INDEX(Table_Måltall[jan.25],MATCH(Table_Fakturering_antall_brukere[[#This Row],[Kommune]],Table_Måltall[Kommune],0)),0),_xlfn.IFNA(INDEX(Table_Faktisk_antall_brukere[jan.25],MATCH(Table_Fakturering_antall_brukere[[#This Row],[Kommune]],Table_Faktisk_antall_brukere[Kommune],0)),0))</f>
        <v>0</v>
      </c>
      <c r="D16" s="77">
        <f>IF(_xlfn.IFNA(INDEX(Table_Faktisk_antall_brukere[feb.25],MATCH(Table_Fakturering_antall_brukere[[#This Row],[Kommune]],Table_Faktisk_antall_brukere[Kommune],0)),0)&lt;_xlfn.IFNA(INDEX(Table_Måltall[feb.25],MATCH(Table_Fakturering_antall_brukere[[#This Row],[Kommune]],Table_Måltall[Kommune],0)),0),_xlfn.IFNA(INDEX(Table_Måltall[feb.25],MATCH(Table_Fakturering_antall_brukere[[#This Row],[Kommune]],Table_Måltall[Kommune],0)),0),_xlfn.IFNA(INDEX(Table_Faktisk_antall_brukere[feb.25],MATCH(Table_Fakturering_antall_brukere[[#This Row],[Kommune]],Table_Faktisk_antall_brukere[Kommune],0)),0))</f>
        <v>0</v>
      </c>
      <c r="E16" s="77">
        <f>IF(_xlfn.IFNA(INDEX(Table_Faktisk_antall_brukere[mar.25],MATCH(Table_Fakturering_antall_brukere[[#This Row],[Kommune]],Table_Faktisk_antall_brukere[Kommune],0)),0)&lt;_xlfn.IFNA(INDEX(Table_Måltall[mar.25],MATCH(Table_Fakturering_antall_brukere[[#This Row],[Kommune]],Table_Måltall[Kommune],0)),0),_xlfn.IFNA(INDEX(Table_Måltall[mar.25],MATCH(Table_Fakturering_antall_brukere[[#This Row],[Kommune]],Table_Måltall[Kommune],0)),0),_xlfn.IFNA(INDEX(Table_Faktisk_antall_brukere[mar.25],MATCH(Table_Fakturering_antall_brukere[[#This Row],[Kommune]],Table_Faktisk_antall_brukere[Kommune],0)),0))</f>
        <v>10</v>
      </c>
      <c r="F16" s="77">
        <f>IF(_xlfn.IFNA(INDEX(Table_Faktisk_antall_brukere[apr.25],MATCH(Table_Fakturering_antall_brukere[[#This Row],[Kommune]],Table_Faktisk_antall_brukere[Kommune],0)),0)&lt;_xlfn.IFNA(INDEX(Table_Måltall[apr.25],MATCH(Table_Fakturering_antall_brukere[[#This Row],[Kommune]],Table_Måltall[Kommune],0)),0),_xlfn.IFNA(INDEX(Table_Måltall[apr.25],MATCH(Table_Fakturering_antall_brukere[[#This Row],[Kommune]],Table_Måltall[Kommune],0)),0),_xlfn.IFNA(INDEX(Table_Faktisk_antall_brukere[apr.25],MATCH(Table_Fakturering_antall_brukere[[#This Row],[Kommune]],Table_Faktisk_antall_brukere[Kommune],0)),0))</f>
        <v>15</v>
      </c>
      <c r="G16" s="77">
        <f>IF(_xlfn.IFNA(INDEX(Table_Faktisk_antall_brukere[mai.25],MATCH(Table_Fakturering_antall_brukere[[#This Row],[Kommune]],Table_Faktisk_antall_brukere[Kommune],0)),0)&lt;_xlfn.IFNA(INDEX(Table_Måltall[mai.25],MATCH(Table_Fakturering_antall_brukere[[#This Row],[Kommune]],Table_Måltall[Kommune],0)),0),_xlfn.IFNA(INDEX(Table_Måltall[mai.25],MATCH(Table_Fakturering_antall_brukere[[#This Row],[Kommune]],Table_Måltall[Kommune],0)),0),_xlfn.IFNA(INDEX(Table_Faktisk_antall_brukere[mai.25],MATCH(Table_Fakturering_antall_brukere[[#This Row],[Kommune]],Table_Faktisk_antall_brukere[Kommune],0)),0))</f>
        <v>20</v>
      </c>
      <c r="H16" s="78">
        <f>IF(_xlfn.IFNA(INDEX(Table_Faktisk_antall_brukere[jun.25],MATCH(Table_Fakturering_antall_brukere[[#This Row],[Kommune]],Table_Faktisk_antall_brukere[Kommune],0)),0)&lt;_xlfn.IFNA(INDEX(Table_Måltall[jun.25],MATCH(Table_Fakturering_antall_brukere[[#This Row],[Kommune]],Table_Måltall[Kommune],0)),0),_xlfn.IFNA(INDEX(Table_Måltall[jun.25],MATCH(Table_Fakturering_antall_brukere[[#This Row],[Kommune]],Table_Måltall[Kommune],0)),0),_xlfn.IFNA(INDEX(Table_Faktisk_antall_brukere[jun.25],MATCH(Table_Fakturering_antall_brukere[[#This Row],[Kommune]],Table_Faktisk_antall_brukere[Kommune],0)),0))</f>
        <v>20</v>
      </c>
      <c r="I16" s="77">
        <f>IF(_xlfn.IFNA(INDEX(Table_Faktisk_antall_brukere[jul.25],MATCH(Table_Fakturering_antall_brukere[[#This Row],[Kommune]],Table_Faktisk_antall_brukere[Kommune],0)),0)&lt;_xlfn.IFNA(INDEX(Table_Måltall[jul.25],MATCH(Table_Fakturering_antall_brukere[[#This Row],[Kommune]],Table_Måltall[Kommune],0)),0),_xlfn.IFNA(INDEX(Table_Måltall[jul.25],MATCH(Table_Fakturering_antall_brukere[[#This Row],[Kommune]],Table_Måltall[Kommune],0)),0),_xlfn.IFNA(INDEX(Table_Faktisk_antall_brukere[jul.25],MATCH(Table_Fakturering_antall_brukere[[#This Row],[Kommune]],Table_Faktisk_antall_brukere[Kommune],0)),0))</f>
        <v>20</v>
      </c>
      <c r="J16" s="77">
        <f>IF(_xlfn.IFNA(INDEX(Table_Faktisk_antall_brukere[aug.25],MATCH(Table_Fakturering_antall_brukere[[#This Row],[Kommune]],Table_Faktisk_antall_brukere[Kommune],0)),0)&lt;_xlfn.IFNA(INDEX(Table_Måltall[aug.25],MATCH(Table_Fakturering_antall_brukere[[#This Row],[Kommune]],Table_Måltall[Kommune],0)),0),_xlfn.IFNA(INDEX(Table_Måltall[aug.25],MATCH(Table_Fakturering_antall_brukere[[#This Row],[Kommune]],Table_Måltall[Kommune],0)),0),_xlfn.IFNA(INDEX(Table_Faktisk_antall_brukere[aug.25],MATCH(Table_Fakturering_antall_brukere[[#This Row],[Kommune]],Table_Faktisk_antall_brukere[Kommune],0)),0))</f>
        <v>20</v>
      </c>
      <c r="K16" s="77">
        <f>IF(_xlfn.IFNA(INDEX(Table_Faktisk_antall_brukere[sep.25],MATCH(Table_Fakturering_antall_brukere[[#This Row],[Kommune]],Table_Faktisk_antall_brukere[Kommune],0)),0)&lt;_xlfn.IFNA(INDEX(Table_Måltall[sep.25],MATCH(Table_Fakturering_antall_brukere[[#This Row],[Kommune]],Table_Måltall[Kommune],0)),0),_xlfn.IFNA(INDEX(Table_Måltall[sep.25],MATCH(Table_Fakturering_antall_brukere[[#This Row],[Kommune]],Table_Måltall[Kommune],0)),0),_xlfn.IFNA(INDEX(Table_Faktisk_antall_brukere[sep.25],MATCH(Table_Fakturering_antall_brukere[[#This Row],[Kommune]],Table_Faktisk_antall_brukere[Kommune],0)),0))</f>
        <v>20</v>
      </c>
      <c r="L16" s="77">
        <f>IF(_xlfn.IFNA(INDEX(Table_Faktisk_antall_brukere[okt.25],MATCH(Table_Fakturering_antall_brukere[[#This Row],[Kommune]],Table_Faktisk_antall_brukere[Kommune],0)),0)&lt;_xlfn.IFNA(INDEX(Table_Måltall[okt.25],MATCH(Table_Fakturering_antall_brukere[[#This Row],[Kommune]],Table_Måltall[Kommune],0)),0),_xlfn.IFNA(INDEX(Table_Måltall[okt.25],MATCH(Table_Fakturering_antall_brukere[[#This Row],[Kommune]],Table_Måltall[Kommune],0)),0),_xlfn.IFNA(INDEX(Table_Faktisk_antall_brukere[okt.25],MATCH(Table_Fakturering_antall_brukere[[#This Row],[Kommune]],Table_Faktisk_antall_brukere[Kommune],0)),0))</f>
        <v>20</v>
      </c>
      <c r="M16" s="77">
        <f>IF(_xlfn.IFNA(INDEX(Table_Faktisk_antall_brukere[nov.25],MATCH(Table_Fakturering_antall_brukere[[#This Row],[Kommune]],Table_Faktisk_antall_brukere[Kommune],0)),0)&lt;_xlfn.IFNA(INDEX(Table_Måltall[nov.25],MATCH(Table_Fakturering_antall_brukere[[#This Row],[Kommune]],Table_Måltall[Kommune],0)),0),_xlfn.IFNA(INDEX(Table_Måltall[nov.25],MATCH(Table_Fakturering_antall_brukere[[#This Row],[Kommune]],Table_Måltall[Kommune],0)),0),_xlfn.IFNA(INDEX(Table_Faktisk_antall_brukere[nov.25],MATCH(Table_Fakturering_antall_brukere[[#This Row],[Kommune]],Table_Faktisk_antall_brukere[Kommune],0)),0))</f>
        <v>20</v>
      </c>
      <c r="N16" s="77">
        <f>IF(_xlfn.IFNA(INDEX(Table_Faktisk_antall_brukere[des.25],MATCH(Table_Fakturering_antall_brukere[[#This Row],[Kommune]],Table_Faktisk_antall_brukere[Kommune],0)),0)&lt;_xlfn.IFNA(INDEX(Table_Måltall[des.25],MATCH(Table_Fakturering_antall_brukere[[#This Row],[Kommune]],Table_Måltall[Kommune],0)),0),_xlfn.IFNA(INDEX(Table_Måltall[des.25],MATCH(Table_Fakturering_antall_brukere[[#This Row],[Kommune]],Table_Måltall[Kommune],0)),0),_xlfn.IFNA(INDEX(Table_Faktisk_antall_brukere[des.25],MATCH(Table_Fakturering_antall_brukere[[#This Row],[Kommune]],Table_Faktisk_antall_brukere[Kommune],0)),0))</f>
        <v>20</v>
      </c>
      <c r="O16" s="3">
        <f>SUM(Table_Fakturering_antall_brukere[[#This Row],[jan.25]:[des.25]])</f>
        <v>185</v>
      </c>
      <c r="P16" s="21">
        <f>Table_Fakturering_antall_brukere[[#This Row],[Totalt 2025]]/COUNTIF(Table_Fakturering_antall_brukere[[#This Row],[jan.25]:[des.25]],"&gt;0")</f>
        <v>18.5</v>
      </c>
    </row>
    <row r="17" spans="2:16" ht="16.05" customHeight="1" x14ac:dyDescent="0.3">
      <c r="B17" s="93" t="s">
        <v>87</v>
      </c>
      <c r="C17" s="77">
        <f>IF(_xlfn.IFNA(INDEX(Table_Faktisk_antall_brukere[jan.25],MATCH(Table_Fakturering_antall_brukere[[#This Row],[Kommune]],Table_Faktisk_antall_brukere[Kommune],0)),0)&lt;_xlfn.IFNA(INDEX(Table_Måltall[jan.25],MATCH(Table_Fakturering_antall_brukere[[#This Row],[Kommune]],Table_Måltall[Kommune],0)),0),_xlfn.IFNA(INDEX(Table_Måltall[jan.25],MATCH(Table_Fakturering_antall_brukere[[#This Row],[Kommune]],Table_Måltall[Kommune],0)),0),_xlfn.IFNA(INDEX(Table_Faktisk_antall_brukere[jan.25],MATCH(Table_Fakturering_antall_brukere[[#This Row],[Kommune]],Table_Faktisk_antall_brukere[Kommune],0)),0))</f>
        <v>0</v>
      </c>
      <c r="D17" s="77">
        <f>IF(_xlfn.IFNA(INDEX(Table_Faktisk_antall_brukere[feb.25],MATCH(Table_Fakturering_antall_brukere[[#This Row],[Kommune]],Table_Faktisk_antall_brukere[Kommune],0)),0)&lt;_xlfn.IFNA(INDEX(Table_Måltall[feb.25],MATCH(Table_Fakturering_antall_brukere[[#This Row],[Kommune]],Table_Måltall[Kommune],0)),0),_xlfn.IFNA(INDEX(Table_Måltall[feb.25],MATCH(Table_Fakturering_antall_brukere[[#This Row],[Kommune]],Table_Måltall[Kommune],0)),0),_xlfn.IFNA(INDEX(Table_Faktisk_antall_brukere[feb.25],MATCH(Table_Fakturering_antall_brukere[[#This Row],[Kommune]],Table_Faktisk_antall_brukere[Kommune],0)),0))</f>
        <v>0</v>
      </c>
      <c r="E17" s="77">
        <f>IF(_xlfn.IFNA(INDEX(Table_Faktisk_antall_brukere[mar.25],MATCH(Table_Fakturering_antall_brukere[[#This Row],[Kommune]],Table_Faktisk_antall_brukere[Kommune],0)),0)&lt;_xlfn.IFNA(INDEX(Table_Måltall[mar.25],MATCH(Table_Fakturering_antall_brukere[[#This Row],[Kommune]],Table_Måltall[Kommune],0)),0),_xlfn.IFNA(INDEX(Table_Måltall[mar.25],MATCH(Table_Fakturering_antall_brukere[[#This Row],[Kommune]],Table_Måltall[Kommune],0)),0),_xlfn.IFNA(INDEX(Table_Faktisk_antall_brukere[mar.25],MATCH(Table_Fakturering_antall_brukere[[#This Row],[Kommune]],Table_Faktisk_antall_brukere[Kommune],0)),0))</f>
        <v>0</v>
      </c>
      <c r="F17" s="77">
        <f>IF(_xlfn.IFNA(INDEX(Table_Faktisk_antall_brukere[apr.25],MATCH(Table_Fakturering_antall_brukere[[#This Row],[Kommune]],Table_Faktisk_antall_brukere[Kommune],0)),0)&lt;_xlfn.IFNA(INDEX(Table_Måltall[apr.25],MATCH(Table_Fakturering_antall_brukere[[#This Row],[Kommune]],Table_Måltall[Kommune],0)),0),_xlfn.IFNA(INDEX(Table_Måltall[apr.25],MATCH(Table_Fakturering_antall_brukere[[#This Row],[Kommune]],Table_Måltall[Kommune],0)),0),_xlfn.IFNA(INDEX(Table_Faktisk_antall_brukere[apr.25],MATCH(Table_Fakturering_antall_brukere[[#This Row],[Kommune]],Table_Faktisk_antall_brukere[Kommune],0)),0))</f>
        <v>0</v>
      </c>
      <c r="G17" s="77">
        <f>IF(_xlfn.IFNA(INDEX(Table_Faktisk_antall_brukere[mai.25],MATCH(Table_Fakturering_antall_brukere[[#This Row],[Kommune]],Table_Faktisk_antall_brukere[Kommune],0)),0)&lt;_xlfn.IFNA(INDEX(Table_Måltall[mai.25],MATCH(Table_Fakturering_antall_brukere[[#This Row],[Kommune]],Table_Måltall[Kommune],0)),0),_xlfn.IFNA(INDEX(Table_Måltall[mai.25],MATCH(Table_Fakturering_antall_brukere[[#This Row],[Kommune]],Table_Måltall[Kommune],0)),0),_xlfn.IFNA(INDEX(Table_Faktisk_antall_brukere[mai.25],MATCH(Table_Fakturering_antall_brukere[[#This Row],[Kommune]],Table_Faktisk_antall_brukere[Kommune],0)),0))</f>
        <v>0</v>
      </c>
      <c r="H17" s="78">
        <f>IF(_xlfn.IFNA(INDEX(Table_Faktisk_antall_brukere[jun.25],MATCH(Table_Fakturering_antall_brukere[[#This Row],[Kommune]],Table_Faktisk_antall_brukere[Kommune],0)),0)&lt;_xlfn.IFNA(INDEX(Table_Måltall[jun.25],MATCH(Table_Fakturering_antall_brukere[[#This Row],[Kommune]],Table_Måltall[Kommune],0)),0),_xlfn.IFNA(INDEX(Table_Måltall[jun.25],MATCH(Table_Fakturering_antall_brukere[[#This Row],[Kommune]],Table_Måltall[Kommune],0)),0),_xlfn.IFNA(INDEX(Table_Faktisk_antall_brukere[jun.25],MATCH(Table_Fakturering_antall_brukere[[#This Row],[Kommune]],Table_Faktisk_antall_brukere[Kommune],0)),0))</f>
        <v>5</v>
      </c>
      <c r="I17" s="77">
        <f>IF(_xlfn.IFNA(INDEX(Table_Faktisk_antall_brukere[jul.25],MATCH(Table_Fakturering_antall_brukere[[#This Row],[Kommune]],Table_Faktisk_antall_brukere[Kommune],0)),0)&lt;_xlfn.IFNA(INDEX(Table_Måltall[jul.25],MATCH(Table_Fakturering_antall_brukere[[#This Row],[Kommune]],Table_Måltall[Kommune],0)),0),_xlfn.IFNA(INDEX(Table_Måltall[jul.25],MATCH(Table_Fakturering_antall_brukere[[#This Row],[Kommune]],Table_Måltall[Kommune],0)),0),_xlfn.IFNA(INDEX(Table_Faktisk_antall_brukere[jul.25],MATCH(Table_Fakturering_antall_brukere[[#This Row],[Kommune]],Table_Faktisk_antall_brukere[Kommune],0)),0))</f>
        <v>5</v>
      </c>
      <c r="J17" s="77">
        <f>IF(_xlfn.IFNA(INDEX(Table_Faktisk_antall_brukere[aug.25],MATCH(Table_Fakturering_antall_brukere[[#This Row],[Kommune]],Table_Faktisk_antall_brukere[Kommune],0)),0)&lt;_xlfn.IFNA(INDEX(Table_Måltall[aug.25],MATCH(Table_Fakturering_antall_brukere[[#This Row],[Kommune]],Table_Måltall[Kommune],0)),0),_xlfn.IFNA(INDEX(Table_Måltall[aug.25],MATCH(Table_Fakturering_antall_brukere[[#This Row],[Kommune]],Table_Måltall[Kommune],0)),0),_xlfn.IFNA(INDEX(Table_Faktisk_antall_brukere[aug.25],MATCH(Table_Fakturering_antall_brukere[[#This Row],[Kommune]],Table_Faktisk_antall_brukere[Kommune],0)),0))</f>
        <v>5</v>
      </c>
      <c r="K17" s="77">
        <f>IF(_xlfn.IFNA(INDEX(Table_Faktisk_antall_brukere[sep.25],MATCH(Table_Fakturering_antall_brukere[[#This Row],[Kommune]],Table_Faktisk_antall_brukere[Kommune],0)),0)&lt;_xlfn.IFNA(INDEX(Table_Måltall[sep.25],MATCH(Table_Fakturering_antall_brukere[[#This Row],[Kommune]],Table_Måltall[Kommune],0)),0),_xlfn.IFNA(INDEX(Table_Måltall[sep.25],MATCH(Table_Fakturering_antall_brukere[[#This Row],[Kommune]],Table_Måltall[Kommune],0)),0),_xlfn.IFNA(INDEX(Table_Faktisk_antall_brukere[sep.25],MATCH(Table_Fakturering_antall_brukere[[#This Row],[Kommune]],Table_Faktisk_antall_brukere[Kommune],0)),0))</f>
        <v>5</v>
      </c>
      <c r="L17" s="77">
        <f>IF(_xlfn.IFNA(INDEX(Table_Faktisk_antall_brukere[okt.25],MATCH(Table_Fakturering_antall_brukere[[#This Row],[Kommune]],Table_Faktisk_antall_brukere[Kommune],0)),0)&lt;_xlfn.IFNA(INDEX(Table_Måltall[okt.25],MATCH(Table_Fakturering_antall_brukere[[#This Row],[Kommune]],Table_Måltall[Kommune],0)),0),_xlfn.IFNA(INDEX(Table_Måltall[okt.25],MATCH(Table_Fakturering_antall_brukere[[#This Row],[Kommune]],Table_Måltall[Kommune],0)),0),_xlfn.IFNA(INDEX(Table_Faktisk_antall_brukere[okt.25],MATCH(Table_Fakturering_antall_brukere[[#This Row],[Kommune]],Table_Faktisk_antall_brukere[Kommune],0)),0))</f>
        <v>5</v>
      </c>
      <c r="M17" s="77">
        <f>IF(_xlfn.IFNA(INDEX(Table_Faktisk_antall_brukere[nov.25],MATCH(Table_Fakturering_antall_brukere[[#This Row],[Kommune]],Table_Faktisk_antall_brukere[Kommune],0)),0)&lt;_xlfn.IFNA(INDEX(Table_Måltall[nov.25],MATCH(Table_Fakturering_antall_brukere[[#This Row],[Kommune]],Table_Måltall[Kommune],0)),0),_xlfn.IFNA(INDEX(Table_Måltall[nov.25],MATCH(Table_Fakturering_antall_brukere[[#This Row],[Kommune]],Table_Måltall[Kommune],0)),0),_xlfn.IFNA(INDEX(Table_Faktisk_antall_brukere[nov.25],MATCH(Table_Fakturering_antall_brukere[[#This Row],[Kommune]],Table_Faktisk_antall_brukere[Kommune],0)),0))</f>
        <v>5</v>
      </c>
      <c r="N17" s="77">
        <f>IF(_xlfn.IFNA(INDEX(Table_Faktisk_antall_brukere[des.25],MATCH(Table_Fakturering_antall_brukere[[#This Row],[Kommune]],Table_Faktisk_antall_brukere[Kommune],0)),0)&lt;_xlfn.IFNA(INDEX(Table_Måltall[des.25],MATCH(Table_Fakturering_antall_brukere[[#This Row],[Kommune]],Table_Måltall[Kommune],0)),0),_xlfn.IFNA(INDEX(Table_Måltall[des.25],MATCH(Table_Fakturering_antall_brukere[[#This Row],[Kommune]],Table_Måltall[Kommune],0)),0),_xlfn.IFNA(INDEX(Table_Faktisk_antall_brukere[des.25],MATCH(Table_Fakturering_antall_brukere[[#This Row],[Kommune]],Table_Faktisk_antall_brukere[Kommune],0)),0))</f>
        <v>5</v>
      </c>
      <c r="O17" s="3">
        <f>SUM(Table_Fakturering_antall_brukere[[#This Row],[jan.25]:[des.25]])</f>
        <v>35</v>
      </c>
      <c r="P17" s="24">
        <f>Table_Fakturering_antall_brukere[[#This Row],[Totalt 2025]]/COUNTIF(Table_Fakturering_antall_brukere[[#This Row],[jan.25]:[des.25]],"&gt;0")</f>
        <v>5</v>
      </c>
    </row>
    <row r="18" spans="2:16" ht="16.05" customHeight="1" x14ac:dyDescent="0.3">
      <c r="B18" s="93" t="s">
        <v>88</v>
      </c>
      <c r="C18" s="77">
        <f>IF(_xlfn.IFNA(INDEX(Table_Faktisk_antall_brukere[jan.25],MATCH(Table_Fakturering_antall_brukere[[#This Row],[Kommune]],Table_Faktisk_antall_brukere[Kommune],0)),0)&lt;_xlfn.IFNA(INDEX(Table_Måltall[jan.25],MATCH(Table_Fakturering_antall_brukere[[#This Row],[Kommune]],Table_Måltall[Kommune],0)),0),_xlfn.IFNA(INDEX(Table_Måltall[jan.25],MATCH(Table_Fakturering_antall_brukere[[#This Row],[Kommune]],Table_Måltall[Kommune],0)),0),_xlfn.IFNA(INDEX(Table_Faktisk_antall_brukere[jan.25],MATCH(Table_Fakturering_antall_brukere[[#This Row],[Kommune]],Table_Faktisk_antall_brukere[Kommune],0)),0))</f>
        <v>0</v>
      </c>
      <c r="D18" s="77">
        <f>IF(_xlfn.IFNA(INDEX(Table_Faktisk_antall_brukere[feb.25],MATCH(Table_Fakturering_antall_brukere[[#This Row],[Kommune]],Table_Faktisk_antall_brukere[Kommune],0)),0)&lt;_xlfn.IFNA(INDEX(Table_Måltall[feb.25],MATCH(Table_Fakturering_antall_brukere[[#This Row],[Kommune]],Table_Måltall[Kommune],0)),0),_xlfn.IFNA(INDEX(Table_Måltall[feb.25],MATCH(Table_Fakturering_antall_brukere[[#This Row],[Kommune]],Table_Måltall[Kommune],0)),0),_xlfn.IFNA(INDEX(Table_Faktisk_antall_brukere[feb.25],MATCH(Table_Fakturering_antall_brukere[[#This Row],[Kommune]],Table_Faktisk_antall_brukere[Kommune],0)),0))</f>
        <v>0</v>
      </c>
      <c r="E18" s="77">
        <f>IF(_xlfn.IFNA(INDEX(Table_Faktisk_antall_brukere[mar.25],MATCH(Table_Fakturering_antall_brukere[[#This Row],[Kommune]],Table_Faktisk_antall_brukere[Kommune],0)),0)&lt;_xlfn.IFNA(INDEX(Table_Måltall[mar.25],MATCH(Table_Fakturering_antall_brukere[[#This Row],[Kommune]],Table_Måltall[Kommune],0)),0),_xlfn.IFNA(INDEX(Table_Måltall[mar.25],MATCH(Table_Fakturering_antall_brukere[[#This Row],[Kommune]],Table_Måltall[Kommune],0)),0),_xlfn.IFNA(INDEX(Table_Faktisk_antall_brukere[mar.25],MATCH(Table_Fakturering_antall_brukere[[#This Row],[Kommune]],Table_Faktisk_antall_brukere[Kommune],0)),0))</f>
        <v>0</v>
      </c>
      <c r="F18" s="77">
        <f>IF(_xlfn.IFNA(INDEX(Table_Faktisk_antall_brukere[apr.25],MATCH(Table_Fakturering_antall_brukere[[#This Row],[Kommune]],Table_Faktisk_antall_brukere[Kommune],0)),0)&lt;_xlfn.IFNA(INDEX(Table_Måltall[apr.25],MATCH(Table_Fakturering_antall_brukere[[#This Row],[Kommune]],Table_Måltall[Kommune],0)),0),_xlfn.IFNA(INDEX(Table_Måltall[apr.25],MATCH(Table_Fakturering_antall_brukere[[#This Row],[Kommune]],Table_Måltall[Kommune],0)),0),_xlfn.IFNA(INDEX(Table_Faktisk_antall_brukere[apr.25],MATCH(Table_Fakturering_antall_brukere[[#This Row],[Kommune]],Table_Faktisk_antall_brukere[Kommune],0)),0))</f>
        <v>0</v>
      </c>
      <c r="G18" s="77">
        <f>IF(_xlfn.IFNA(INDEX(Table_Faktisk_antall_brukere[mai.25],MATCH(Table_Fakturering_antall_brukere[[#This Row],[Kommune]],Table_Faktisk_antall_brukere[Kommune],0)),0)&lt;_xlfn.IFNA(INDEX(Table_Måltall[mai.25],MATCH(Table_Fakturering_antall_brukere[[#This Row],[Kommune]],Table_Måltall[Kommune],0)),0),_xlfn.IFNA(INDEX(Table_Måltall[mai.25],MATCH(Table_Fakturering_antall_brukere[[#This Row],[Kommune]],Table_Måltall[Kommune],0)),0),_xlfn.IFNA(INDEX(Table_Faktisk_antall_brukere[mai.25],MATCH(Table_Fakturering_antall_brukere[[#This Row],[Kommune]],Table_Faktisk_antall_brukere[Kommune],0)),0))</f>
        <v>0</v>
      </c>
      <c r="H18" s="78">
        <f>IF(_xlfn.IFNA(INDEX(Table_Faktisk_antall_brukere[jun.25],MATCH(Table_Fakturering_antall_brukere[[#This Row],[Kommune]],Table_Faktisk_antall_brukere[Kommune],0)),0)&lt;_xlfn.IFNA(INDEX(Table_Måltall[jun.25],MATCH(Table_Fakturering_antall_brukere[[#This Row],[Kommune]],Table_Måltall[Kommune],0)),0),_xlfn.IFNA(INDEX(Table_Måltall[jun.25],MATCH(Table_Fakturering_antall_brukere[[#This Row],[Kommune]],Table_Måltall[Kommune],0)),0),_xlfn.IFNA(INDEX(Table_Faktisk_antall_brukere[jun.25],MATCH(Table_Fakturering_antall_brukere[[#This Row],[Kommune]],Table_Faktisk_antall_brukere[Kommune],0)),0))</f>
        <v>0</v>
      </c>
      <c r="I18" s="77">
        <f>IF(_xlfn.IFNA(INDEX(Table_Faktisk_antall_brukere[jul.25],MATCH(Table_Fakturering_antall_brukere[[#This Row],[Kommune]],Table_Faktisk_antall_brukere[Kommune],0)),0)&lt;_xlfn.IFNA(INDEX(Table_Måltall[jul.25],MATCH(Table_Fakturering_antall_brukere[[#This Row],[Kommune]],Table_Måltall[Kommune],0)),0),_xlfn.IFNA(INDEX(Table_Måltall[jul.25],MATCH(Table_Fakturering_antall_brukere[[#This Row],[Kommune]],Table_Måltall[Kommune],0)),0),_xlfn.IFNA(INDEX(Table_Faktisk_antall_brukere[jul.25],MATCH(Table_Fakturering_antall_brukere[[#This Row],[Kommune]],Table_Faktisk_antall_brukere[Kommune],0)),0))</f>
        <v>0</v>
      </c>
      <c r="J18" s="77">
        <f>IF(_xlfn.IFNA(INDEX(Table_Faktisk_antall_brukere[aug.25],MATCH(Table_Fakturering_antall_brukere[[#This Row],[Kommune]],Table_Faktisk_antall_brukere[Kommune],0)),0)&lt;_xlfn.IFNA(INDEX(Table_Måltall[aug.25],MATCH(Table_Fakturering_antall_brukere[[#This Row],[Kommune]],Table_Måltall[Kommune],0)),0),_xlfn.IFNA(INDEX(Table_Måltall[aug.25],MATCH(Table_Fakturering_antall_brukere[[#This Row],[Kommune]],Table_Måltall[Kommune],0)),0),_xlfn.IFNA(INDEX(Table_Faktisk_antall_brukere[aug.25],MATCH(Table_Fakturering_antall_brukere[[#This Row],[Kommune]],Table_Faktisk_antall_brukere[Kommune],0)),0))</f>
        <v>5</v>
      </c>
      <c r="K18" s="77">
        <f>IF(_xlfn.IFNA(INDEX(Table_Faktisk_antall_brukere[sep.25],MATCH(Table_Fakturering_antall_brukere[[#This Row],[Kommune]],Table_Faktisk_antall_brukere[Kommune],0)),0)&lt;_xlfn.IFNA(INDEX(Table_Måltall[sep.25],MATCH(Table_Fakturering_antall_brukere[[#This Row],[Kommune]],Table_Måltall[Kommune],0)),0),_xlfn.IFNA(INDEX(Table_Måltall[sep.25],MATCH(Table_Fakturering_antall_brukere[[#This Row],[Kommune]],Table_Måltall[Kommune],0)),0),_xlfn.IFNA(INDEX(Table_Faktisk_antall_brukere[sep.25],MATCH(Table_Fakturering_antall_brukere[[#This Row],[Kommune]],Table_Faktisk_antall_brukere[Kommune],0)),0))</f>
        <v>5</v>
      </c>
      <c r="L18" s="77">
        <f>IF(_xlfn.IFNA(INDEX(Table_Faktisk_antall_brukere[okt.25],MATCH(Table_Fakturering_antall_brukere[[#This Row],[Kommune]],Table_Faktisk_antall_brukere[Kommune],0)),0)&lt;_xlfn.IFNA(INDEX(Table_Måltall[okt.25],MATCH(Table_Fakturering_antall_brukere[[#This Row],[Kommune]],Table_Måltall[Kommune],0)),0),_xlfn.IFNA(INDEX(Table_Måltall[okt.25],MATCH(Table_Fakturering_antall_brukere[[#This Row],[Kommune]],Table_Måltall[Kommune],0)),0),_xlfn.IFNA(INDEX(Table_Faktisk_antall_brukere[okt.25],MATCH(Table_Fakturering_antall_brukere[[#This Row],[Kommune]],Table_Faktisk_antall_brukere[Kommune],0)),0))</f>
        <v>5</v>
      </c>
      <c r="M18" s="77">
        <f>IF(_xlfn.IFNA(INDEX(Table_Faktisk_antall_brukere[nov.25],MATCH(Table_Fakturering_antall_brukere[[#This Row],[Kommune]],Table_Faktisk_antall_brukere[Kommune],0)),0)&lt;_xlfn.IFNA(INDEX(Table_Måltall[nov.25],MATCH(Table_Fakturering_antall_brukere[[#This Row],[Kommune]],Table_Måltall[Kommune],0)),0),_xlfn.IFNA(INDEX(Table_Måltall[nov.25],MATCH(Table_Fakturering_antall_brukere[[#This Row],[Kommune]],Table_Måltall[Kommune],0)),0),_xlfn.IFNA(INDEX(Table_Faktisk_antall_brukere[nov.25],MATCH(Table_Fakturering_antall_brukere[[#This Row],[Kommune]],Table_Faktisk_antall_brukere[Kommune],0)),0))</f>
        <v>5</v>
      </c>
      <c r="N18" s="77">
        <f>IF(_xlfn.IFNA(INDEX(Table_Faktisk_antall_brukere[des.25],MATCH(Table_Fakturering_antall_brukere[[#This Row],[Kommune]],Table_Faktisk_antall_brukere[Kommune],0)),0)&lt;_xlfn.IFNA(INDEX(Table_Måltall[des.25],MATCH(Table_Fakturering_antall_brukere[[#This Row],[Kommune]],Table_Måltall[Kommune],0)),0),_xlfn.IFNA(INDEX(Table_Måltall[des.25],MATCH(Table_Fakturering_antall_brukere[[#This Row],[Kommune]],Table_Måltall[Kommune],0)),0),_xlfn.IFNA(INDEX(Table_Faktisk_antall_brukere[des.25],MATCH(Table_Fakturering_antall_brukere[[#This Row],[Kommune]],Table_Faktisk_antall_brukere[Kommune],0)),0))</f>
        <v>5</v>
      </c>
      <c r="O18" s="3">
        <f>SUM(Table_Fakturering_antall_brukere[[#This Row],[jan.25]:[des.25]])</f>
        <v>25</v>
      </c>
      <c r="P18" s="21">
        <f>Table_Fakturering_antall_brukere[[#This Row],[Totalt 2025]]/COUNTIF(Table_Fakturering_antall_brukere[[#This Row],[jan.25]:[des.25]],"&gt;0")</f>
        <v>5</v>
      </c>
    </row>
    <row r="19" spans="2:16" ht="16.05" customHeight="1" thickBot="1" x14ac:dyDescent="0.35">
      <c r="B19" s="105" t="s">
        <v>89</v>
      </c>
      <c r="C19" s="78">
        <f>IF(_xlfn.IFNA(INDEX(Table_Faktisk_antall_brukere[jan.25],MATCH(Table_Fakturering_antall_brukere[[#This Row],[Kommune]],Table_Faktisk_antall_brukere[Kommune],0)),0)&lt;_xlfn.IFNA(INDEX(Table_Måltall[jan.25],MATCH(Table_Fakturering_antall_brukere[[#This Row],[Kommune]],Table_Måltall[Kommune],0)),0),_xlfn.IFNA(INDEX(Table_Måltall[jan.25],MATCH(Table_Fakturering_antall_brukere[[#This Row],[Kommune]],Table_Måltall[Kommune],0)),0),_xlfn.IFNA(INDEX(Table_Faktisk_antall_brukere[jan.25],MATCH(Table_Fakturering_antall_brukere[[#This Row],[Kommune]],Table_Faktisk_antall_brukere[Kommune],0)),0))</f>
        <v>0</v>
      </c>
      <c r="D19" s="78">
        <f>IF(_xlfn.IFNA(INDEX(Table_Faktisk_antall_brukere[feb.25],MATCH(Table_Fakturering_antall_brukere[[#This Row],[Kommune]],Table_Faktisk_antall_brukere[Kommune],0)),0)&lt;_xlfn.IFNA(INDEX(Table_Måltall[feb.25],MATCH(Table_Fakturering_antall_brukere[[#This Row],[Kommune]],Table_Måltall[Kommune],0)),0),_xlfn.IFNA(INDEX(Table_Måltall[feb.25],MATCH(Table_Fakturering_antall_brukere[[#This Row],[Kommune]],Table_Måltall[Kommune],0)),0),_xlfn.IFNA(INDEX(Table_Faktisk_antall_brukere[feb.25],MATCH(Table_Fakturering_antall_brukere[[#This Row],[Kommune]],Table_Faktisk_antall_brukere[Kommune],0)),0))</f>
        <v>0</v>
      </c>
      <c r="E19" s="78">
        <f>IF(_xlfn.IFNA(INDEX(Table_Faktisk_antall_brukere[mar.25],MATCH(Table_Fakturering_antall_brukere[[#This Row],[Kommune]],Table_Faktisk_antall_brukere[Kommune],0)),0)&lt;_xlfn.IFNA(INDEX(Table_Måltall[mar.25],MATCH(Table_Fakturering_antall_brukere[[#This Row],[Kommune]],Table_Måltall[Kommune],0)),0),_xlfn.IFNA(INDEX(Table_Måltall[mar.25],MATCH(Table_Fakturering_antall_brukere[[#This Row],[Kommune]],Table_Måltall[Kommune],0)),0),_xlfn.IFNA(INDEX(Table_Faktisk_antall_brukere[mar.25],MATCH(Table_Fakturering_antall_brukere[[#This Row],[Kommune]],Table_Faktisk_antall_brukere[Kommune],0)),0))</f>
        <v>0</v>
      </c>
      <c r="F19" s="78">
        <f>IF(_xlfn.IFNA(INDEX(Table_Faktisk_antall_brukere[apr.25],MATCH(Table_Fakturering_antall_brukere[[#This Row],[Kommune]],Table_Faktisk_antall_brukere[Kommune],0)),0)&lt;_xlfn.IFNA(INDEX(Table_Måltall[apr.25],MATCH(Table_Fakturering_antall_brukere[[#This Row],[Kommune]],Table_Måltall[Kommune],0)),0),_xlfn.IFNA(INDEX(Table_Måltall[apr.25],MATCH(Table_Fakturering_antall_brukere[[#This Row],[Kommune]],Table_Måltall[Kommune],0)),0),_xlfn.IFNA(INDEX(Table_Faktisk_antall_brukere[apr.25],MATCH(Table_Fakturering_antall_brukere[[#This Row],[Kommune]],Table_Faktisk_antall_brukere[Kommune],0)),0))</f>
        <v>0</v>
      </c>
      <c r="G19" s="78">
        <f>IF(_xlfn.IFNA(INDEX(Table_Faktisk_antall_brukere[mai.25],MATCH(Table_Fakturering_antall_brukere[[#This Row],[Kommune]],Table_Faktisk_antall_brukere[Kommune],0)),0)&lt;_xlfn.IFNA(INDEX(Table_Måltall[mai.25],MATCH(Table_Fakturering_antall_brukere[[#This Row],[Kommune]],Table_Måltall[Kommune],0)),0),_xlfn.IFNA(INDEX(Table_Måltall[mai.25],MATCH(Table_Fakturering_antall_brukere[[#This Row],[Kommune]],Table_Måltall[Kommune],0)),0),_xlfn.IFNA(INDEX(Table_Faktisk_antall_brukere[mai.25],MATCH(Table_Fakturering_antall_brukere[[#This Row],[Kommune]],Table_Faktisk_antall_brukere[Kommune],0)),0))</f>
        <v>0</v>
      </c>
      <c r="H19" s="78">
        <f>IF(_xlfn.IFNA(INDEX(Table_Faktisk_antall_brukere[jun.25],MATCH(Table_Fakturering_antall_brukere[[#This Row],[Kommune]],Table_Faktisk_antall_brukere[Kommune],0)),0)&lt;_xlfn.IFNA(INDEX(Table_Måltall[jun.25],MATCH(Table_Fakturering_antall_brukere[[#This Row],[Kommune]],Table_Måltall[Kommune],0)),0),_xlfn.IFNA(INDEX(Table_Måltall[jun.25],MATCH(Table_Fakturering_antall_brukere[[#This Row],[Kommune]],Table_Måltall[Kommune],0)),0),_xlfn.IFNA(INDEX(Table_Faktisk_antall_brukere[jun.25],MATCH(Table_Fakturering_antall_brukere[[#This Row],[Kommune]],Table_Faktisk_antall_brukere[Kommune],0)),0))</f>
        <v>0</v>
      </c>
      <c r="I19" s="78">
        <f>IF(_xlfn.IFNA(INDEX(Table_Faktisk_antall_brukere[jul.25],MATCH(Table_Fakturering_antall_brukere[[#This Row],[Kommune]],Table_Faktisk_antall_brukere[Kommune],0)),0)&lt;_xlfn.IFNA(INDEX(Table_Måltall[jul.25],MATCH(Table_Fakturering_antall_brukere[[#This Row],[Kommune]],Table_Måltall[Kommune],0)),0),_xlfn.IFNA(INDEX(Table_Måltall[jul.25],MATCH(Table_Fakturering_antall_brukere[[#This Row],[Kommune]],Table_Måltall[Kommune],0)),0),_xlfn.IFNA(INDEX(Table_Faktisk_antall_brukere[jul.25],MATCH(Table_Fakturering_antall_brukere[[#This Row],[Kommune]],Table_Faktisk_antall_brukere[Kommune],0)),0))</f>
        <v>0</v>
      </c>
      <c r="J19" s="78">
        <f>IF(_xlfn.IFNA(INDEX(Table_Faktisk_antall_brukere[aug.25],MATCH(Table_Fakturering_antall_brukere[[#This Row],[Kommune]],Table_Faktisk_antall_brukere[Kommune],0)),0)&lt;_xlfn.IFNA(INDEX(Table_Måltall[aug.25],MATCH(Table_Fakturering_antall_brukere[[#This Row],[Kommune]],Table_Måltall[Kommune],0)),0),_xlfn.IFNA(INDEX(Table_Måltall[aug.25],MATCH(Table_Fakturering_antall_brukere[[#This Row],[Kommune]],Table_Måltall[Kommune],0)),0),_xlfn.IFNA(INDEX(Table_Faktisk_antall_brukere[aug.25],MATCH(Table_Fakturering_antall_brukere[[#This Row],[Kommune]],Table_Faktisk_antall_brukere[Kommune],0)),0))</f>
        <v>0</v>
      </c>
      <c r="K19" s="78">
        <f>IF(_xlfn.IFNA(INDEX(Table_Faktisk_antall_brukere[sep.25],MATCH(Table_Fakturering_antall_brukere[[#This Row],[Kommune]],Table_Faktisk_antall_brukere[Kommune],0)),0)&lt;_xlfn.IFNA(INDEX(Table_Måltall[sep.25],MATCH(Table_Fakturering_antall_brukere[[#This Row],[Kommune]],Table_Måltall[Kommune],0)),0),_xlfn.IFNA(INDEX(Table_Måltall[sep.25],MATCH(Table_Fakturering_antall_brukere[[#This Row],[Kommune]],Table_Måltall[Kommune],0)),0),_xlfn.IFNA(INDEX(Table_Faktisk_antall_brukere[sep.25],MATCH(Table_Fakturering_antall_brukere[[#This Row],[Kommune]],Table_Faktisk_antall_brukere[Kommune],0)),0))</f>
        <v>0</v>
      </c>
      <c r="L19" s="78">
        <f>IF(_xlfn.IFNA(INDEX(Table_Faktisk_antall_brukere[okt.25],MATCH(Table_Fakturering_antall_brukere[[#This Row],[Kommune]],Table_Faktisk_antall_brukere[Kommune],0)),0)&lt;_xlfn.IFNA(INDEX(Table_Måltall[okt.25],MATCH(Table_Fakturering_antall_brukere[[#This Row],[Kommune]],Table_Måltall[Kommune],0)),0),_xlfn.IFNA(INDEX(Table_Måltall[okt.25],MATCH(Table_Fakturering_antall_brukere[[#This Row],[Kommune]],Table_Måltall[Kommune],0)),0),_xlfn.IFNA(INDEX(Table_Faktisk_antall_brukere[okt.25],MATCH(Table_Fakturering_antall_brukere[[#This Row],[Kommune]],Table_Faktisk_antall_brukere[Kommune],0)),0))</f>
        <v>5</v>
      </c>
      <c r="M19" s="78">
        <f>IF(_xlfn.IFNA(INDEX(Table_Faktisk_antall_brukere[nov.25],MATCH(Table_Fakturering_antall_brukere[[#This Row],[Kommune]],Table_Faktisk_antall_brukere[Kommune],0)),0)&lt;_xlfn.IFNA(INDEX(Table_Måltall[nov.25],MATCH(Table_Fakturering_antall_brukere[[#This Row],[Kommune]],Table_Måltall[Kommune],0)),0),_xlfn.IFNA(INDEX(Table_Måltall[nov.25],MATCH(Table_Fakturering_antall_brukere[[#This Row],[Kommune]],Table_Måltall[Kommune],0)),0),_xlfn.IFNA(INDEX(Table_Faktisk_antall_brukere[nov.25],MATCH(Table_Fakturering_antall_brukere[[#This Row],[Kommune]],Table_Faktisk_antall_brukere[Kommune],0)),0))</f>
        <v>6</v>
      </c>
      <c r="N19" s="78">
        <f>IF(_xlfn.IFNA(INDEX(Table_Faktisk_antall_brukere[des.25],MATCH(Table_Fakturering_antall_brukere[[#This Row],[Kommune]],Table_Faktisk_antall_brukere[Kommune],0)),0)&lt;_xlfn.IFNA(INDEX(Table_Måltall[des.25],MATCH(Table_Fakturering_antall_brukere[[#This Row],[Kommune]],Table_Måltall[Kommune],0)),0),_xlfn.IFNA(INDEX(Table_Måltall[des.25],MATCH(Table_Fakturering_antall_brukere[[#This Row],[Kommune]],Table_Måltall[Kommune],0)),0),_xlfn.IFNA(INDEX(Table_Faktisk_antall_brukere[des.25],MATCH(Table_Fakturering_antall_brukere[[#This Row],[Kommune]],Table_Faktisk_antall_brukere[Kommune],0)),0))</f>
        <v>5</v>
      </c>
      <c r="O19" s="3">
        <f>SUM(Table_Fakturering_antall_brukere[[#This Row],[jan.25]:[des.25]])</f>
        <v>16</v>
      </c>
      <c r="P19" s="21">
        <f>Table_Fakturering_antall_brukere[[#This Row],[Totalt 2025]]/COUNTIF(Table_Fakturering_antall_brukere[[#This Row],[jan.25]:[des.25]],"&gt;0")</f>
        <v>5.333333333333333</v>
      </c>
    </row>
    <row r="20" spans="2:16" x14ac:dyDescent="0.3">
      <c r="O20" s="3"/>
      <c r="P20" s="72"/>
    </row>
  </sheetData>
  <mergeCells count="1">
    <mergeCell ref="C5:N5"/>
  </mergeCells>
  <phoneticPr fontId="10" type="noConversion"/>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20B5E-94C2-4E2F-854A-0FCF71C741A2}">
  <dimension ref="B2:O26"/>
  <sheetViews>
    <sheetView showGridLines="0" workbookViewId="0"/>
  </sheetViews>
  <sheetFormatPr defaultRowHeight="14.4" x14ac:dyDescent="0.3"/>
  <cols>
    <col min="1" max="1" width="2.77734375" customWidth="1"/>
    <col min="2" max="2" width="27.88671875" customWidth="1"/>
    <col min="3" max="3" width="11.6640625" customWidth="1"/>
    <col min="4" max="14" width="10.77734375" customWidth="1"/>
    <col min="15" max="15" width="21.33203125" customWidth="1"/>
  </cols>
  <sheetData>
    <row r="2" spans="2:15" ht="22.8" x14ac:dyDescent="0.4">
      <c r="B2" s="118" t="s">
        <v>65</v>
      </c>
    </row>
    <row r="3" spans="2:15" ht="19.95" customHeight="1" x14ac:dyDescent="0.3">
      <c r="B3" s="88" t="s">
        <v>57</v>
      </c>
    </row>
    <row r="4" spans="2:15" ht="19.95" customHeight="1" x14ac:dyDescent="0.3">
      <c r="B4" s="3" t="s">
        <v>92</v>
      </c>
    </row>
    <row r="5" spans="2:15" ht="19.95" customHeight="1" x14ac:dyDescent="0.3">
      <c r="B5" s="81" t="s">
        <v>70</v>
      </c>
      <c r="C5" s="104">
        <v>1600000</v>
      </c>
      <c r="D5" s="2" t="s">
        <v>71</v>
      </c>
    </row>
    <row r="6" spans="2:15" ht="28.8" x14ac:dyDescent="0.3">
      <c r="B6" s="84" t="s">
        <v>72</v>
      </c>
      <c r="C6" s="85">
        <f>SUM(Table_Fakturering_antall_brukere[Totalt 2025])</f>
        <v>1508</v>
      </c>
      <c r="D6" s="2" t="s">
        <v>73</v>
      </c>
    </row>
    <row r="7" spans="2:15" ht="28.8" x14ac:dyDescent="0.3">
      <c r="B7" s="86" t="s">
        <v>74</v>
      </c>
      <c r="C7" s="87">
        <f>C5/C6</f>
        <v>1061.0079575596817</v>
      </c>
    </row>
    <row r="8" spans="2:15" x14ac:dyDescent="0.3">
      <c r="B8" s="82"/>
    </row>
    <row r="9" spans="2:15" ht="16.05" customHeight="1" x14ac:dyDescent="0.3">
      <c r="B9" s="73" t="s">
        <v>69</v>
      </c>
    </row>
    <row r="10" spans="2:15" ht="15" customHeight="1" x14ac:dyDescent="0.3">
      <c r="B10" s="73" t="s">
        <v>90</v>
      </c>
      <c r="O10" s="19" t="s">
        <v>91</v>
      </c>
    </row>
    <row r="11" spans="2:15" ht="15" customHeight="1" x14ac:dyDescent="0.3">
      <c r="B11" s="73"/>
      <c r="O11" s="18">
        <f>SUM(Table_Fakturert_per_mnd[Fakturering for  2025])</f>
        <v>1600000</v>
      </c>
    </row>
    <row r="12" spans="2:15" ht="15" thickBot="1" x14ac:dyDescent="0.35">
      <c r="B12" s="115" t="s">
        <v>0</v>
      </c>
      <c r="C12" s="116" t="s">
        <v>16</v>
      </c>
      <c r="D12" s="116" t="s">
        <v>17</v>
      </c>
      <c r="E12" s="116" t="s">
        <v>18</v>
      </c>
      <c r="F12" s="116" t="s">
        <v>19</v>
      </c>
      <c r="G12" s="116" t="s">
        <v>20</v>
      </c>
      <c r="H12" s="116" t="s">
        <v>21</v>
      </c>
      <c r="I12" s="116" t="s">
        <v>22</v>
      </c>
      <c r="J12" s="116" t="s">
        <v>23</v>
      </c>
      <c r="K12" s="116" t="s">
        <v>24</v>
      </c>
      <c r="L12" s="116" t="s">
        <v>25</v>
      </c>
      <c r="M12" s="116" t="s">
        <v>26</v>
      </c>
      <c r="N12" s="116" t="s">
        <v>27</v>
      </c>
      <c r="O12" s="117" t="s">
        <v>64</v>
      </c>
    </row>
    <row r="13" spans="2:15" ht="16.05" customHeight="1" x14ac:dyDescent="0.3">
      <c r="B13" s="93" t="s">
        <v>77</v>
      </c>
      <c r="C13" s="74">
        <f>_xlfn.IFNA(INDEX(Table_Fakturering_antall_brukere[jan.25],MATCH(Table_Fakturert_per_mnd[[#This Row],[Kommune]],Table_Fakturering_antall_brukere[Kommune],0)),0)*$C$7</f>
        <v>10610.079575596817</v>
      </c>
      <c r="D13" s="74">
        <f>_xlfn.IFNA(INDEX(Table_Fakturering_antall_brukere[feb.25],MATCH(Table_Fakturert_per_mnd[[#This Row],[Kommune]],Table_Fakturering_antall_brukere[Kommune],0)),0)*$C$7</f>
        <v>11671.087533156498</v>
      </c>
      <c r="E13" s="74">
        <f>_xlfn.IFNA(INDEX(Table_Fakturering_antall_brukere[mar.25],MATCH(Table_Fakturert_per_mnd[[#This Row],[Kommune]],Table_Fakturering_antall_brukere[Kommune],0)),0)*$C$7</f>
        <v>12732.095490716179</v>
      </c>
      <c r="F13" s="74">
        <f>_xlfn.IFNA(INDEX(Table_Fakturering_antall_brukere[apr.25],MATCH(Table_Fakturert_per_mnd[[#This Row],[Kommune]],Table_Fakturering_antall_brukere[Kommune],0)),0)*$C$7</f>
        <v>13793.103448275862</v>
      </c>
      <c r="G13" s="74">
        <f>_xlfn.IFNA(INDEX(Table_Fakturering_antall_brukere[mai.25],MATCH(Table_Fakturert_per_mnd[[#This Row],[Kommune]],Table_Fakturering_antall_brukere[Kommune],0)),0)*$C$7</f>
        <v>14854.111405835543</v>
      </c>
      <c r="H13" s="74">
        <f>_xlfn.IFNA(INDEX(Table_Fakturering_antall_brukere[jun.25],MATCH(Table_Fakturert_per_mnd[[#This Row],[Kommune]],Table_Fakturering_antall_brukere[Kommune],0)),0)*$C$7</f>
        <v>15915.119363395226</v>
      </c>
      <c r="I13" s="74">
        <f>_xlfn.IFNA(INDEX(Table_Fakturering_antall_brukere[jul.25],MATCH(Table_Fakturert_per_mnd[[#This Row],[Kommune]],Table_Fakturering_antall_brukere[Kommune],0)),0)*$C$7</f>
        <v>16976.127320954907</v>
      </c>
      <c r="J13" s="74">
        <f>_xlfn.IFNA(INDEX(Table_Fakturering_antall_brukere[aug.25],MATCH(Table_Fakturert_per_mnd[[#This Row],[Kommune]],Table_Fakturering_antall_brukere[Kommune],0)),0)*$C$7</f>
        <v>18037.13527851459</v>
      </c>
      <c r="K13" s="74">
        <f>_xlfn.IFNA(INDEX(Table_Fakturering_antall_brukere[sep.25],MATCH(Table_Fakturert_per_mnd[[#This Row],[Kommune]],Table_Fakturering_antall_brukere[Kommune],0)),0)*$C$7</f>
        <v>19098.143236074269</v>
      </c>
      <c r="L13" s="74">
        <f>_xlfn.IFNA(INDEX(Table_Fakturering_antall_brukere[okt.25],MATCH(Table_Fakturert_per_mnd[[#This Row],[Kommune]],Table_Fakturering_antall_brukere[Kommune],0)),0)*$C$7</f>
        <v>20159.151193633952</v>
      </c>
      <c r="M13" s="74">
        <f>_xlfn.IFNA(INDEX(Table_Fakturering_antall_brukere[nov.25],MATCH(Table_Fakturert_per_mnd[[#This Row],[Kommune]],Table_Fakturering_antall_brukere[Kommune],0)),0)*$C$7</f>
        <v>21220.159151193635</v>
      </c>
      <c r="N13" s="74">
        <f>_xlfn.IFNA(INDEX(Table_Fakturering_antall_brukere[des.25],MATCH(Table_Fakturert_per_mnd[[#This Row],[Kommune]],Table_Fakturering_antall_brukere[Kommune],0)),0)*$C$7</f>
        <v>22281.167108753314</v>
      </c>
      <c r="O13" s="53">
        <f>SUM(Table_Fakturert_per_mnd[[#This Row],[jan.25]:[des.25]])</f>
        <v>197347.48010610082</v>
      </c>
    </row>
    <row r="14" spans="2:15" ht="16.05" customHeight="1" x14ac:dyDescent="0.3">
      <c r="B14" s="93" t="s">
        <v>78</v>
      </c>
      <c r="C14" s="75">
        <f>_xlfn.IFNA(INDEX(Table_Fakturering_antall_brukere[jan.25],MATCH(Table_Fakturert_per_mnd[[#This Row],[Kommune]],Table_Fakturering_antall_brukere[Kommune],0)),0)*$C$7</f>
        <v>10610.079575596817</v>
      </c>
      <c r="D14" s="75">
        <f>_xlfn.IFNA(INDEX(Table_Fakturering_antall_brukere[feb.25],MATCH(Table_Fakturert_per_mnd[[#This Row],[Kommune]],Table_Fakturering_antall_brukere[Kommune],0)),0)*$C$7</f>
        <v>10610.079575596817</v>
      </c>
      <c r="E14" s="75">
        <f>_xlfn.IFNA(INDEX(Table_Fakturering_antall_brukere[mar.25],MATCH(Table_Fakturert_per_mnd[[#This Row],[Kommune]],Table_Fakturering_antall_brukere[Kommune],0)),0)*$C$7</f>
        <v>10610.079575596817</v>
      </c>
      <c r="F14" s="75">
        <f>_xlfn.IFNA(INDEX(Table_Fakturering_antall_brukere[apr.25],MATCH(Table_Fakturert_per_mnd[[#This Row],[Kommune]],Table_Fakturering_antall_brukere[Kommune],0)),0)*$C$7</f>
        <v>10610.079575596817</v>
      </c>
      <c r="G14" s="75">
        <f>_xlfn.IFNA(INDEX(Table_Fakturering_antall_brukere[mai.25],MATCH(Table_Fakturert_per_mnd[[#This Row],[Kommune]],Table_Fakturering_antall_brukere[Kommune],0)),0)*$C$7</f>
        <v>10610.079575596817</v>
      </c>
      <c r="H14" s="75">
        <f>_xlfn.IFNA(INDEX(Table_Fakturering_antall_brukere[jun.25],MATCH(Table_Fakturert_per_mnd[[#This Row],[Kommune]],Table_Fakturering_antall_brukere[Kommune],0)),0)*$C$7</f>
        <v>10610.079575596817</v>
      </c>
      <c r="I14" s="75">
        <f>_xlfn.IFNA(INDEX(Table_Fakturering_antall_brukere[jul.25],MATCH(Table_Fakturert_per_mnd[[#This Row],[Kommune]],Table_Fakturering_antall_brukere[Kommune],0)),0)*$C$7</f>
        <v>10610.079575596817</v>
      </c>
      <c r="J14" s="75">
        <f>_xlfn.IFNA(INDEX(Table_Fakturering_antall_brukere[aug.25],MATCH(Table_Fakturert_per_mnd[[#This Row],[Kommune]],Table_Fakturering_antall_brukere[Kommune],0)),0)*$C$7</f>
        <v>10610.079575596817</v>
      </c>
      <c r="K14" s="75">
        <f>_xlfn.IFNA(INDEX(Table_Fakturering_antall_brukere[sep.25],MATCH(Table_Fakturert_per_mnd[[#This Row],[Kommune]],Table_Fakturering_antall_brukere[Kommune],0)),0)*$C$7</f>
        <v>10610.079575596817</v>
      </c>
      <c r="L14" s="75">
        <f>_xlfn.IFNA(INDEX(Table_Fakturering_antall_brukere[okt.25],MATCH(Table_Fakturert_per_mnd[[#This Row],[Kommune]],Table_Fakturering_antall_brukere[Kommune],0)),0)*$C$7</f>
        <v>10610.079575596817</v>
      </c>
      <c r="M14" s="75">
        <f>_xlfn.IFNA(INDEX(Table_Fakturering_antall_brukere[nov.25],MATCH(Table_Fakturert_per_mnd[[#This Row],[Kommune]],Table_Fakturering_antall_brukere[Kommune],0)),0)*$C$7</f>
        <v>10610.079575596817</v>
      </c>
      <c r="N14" s="75">
        <f>_xlfn.IFNA(INDEX(Table_Fakturering_antall_brukere[des.25],MATCH(Table_Fakturert_per_mnd[[#This Row],[Kommune]],Table_Fakturering_antall_brukere[Kommune],0)),0)*$C$7</f>
        <v>10610.079575596817</v>
      </c>
      <c r="O14" s="20">
        <f>SUM(Table_Fakturert_per_mnd[[#This Row],[jan.25]:[des.25]])</f>
        <v>127320.95490716178</v>
      </c>
    </row>
    <row r="15" spans="2:15" ht="16.05" customHeight="1" x14ac:dyDescent="0.3">
      <c r="B15" s="93" t="s">
        <v>79</v>
      </c>
      <c r="C15" s="76">
        <f>_xlfn.IFNA(INDEX(Table_Fakturering_antall_brukere[jan.25],MATCH(Table_Fakturert_per_mnd[[#This Row],[Kommune]],Table_Fakturering_antall_brukere[Kommune],0)),0)*$C$7</f>
        <v>6366.0477453580897</v>
      </c>
      <c r="D15" s="76">
        <f>_xlfn.IFNA(INDEX(Table_Fakturering_antall_brukere[feb.25],MATCH(Table_Fakturert_per_mnd[[#This Row],[Kommune]],Table_Fakturering_antall_brukere[Kommune],0)),0)*$C$7</f>
        <v>6366.0477453580897</v>
      </c>
      <c r="E15" s="76">
        <f>_xlfn.IFNA(INDEX(Table_Fakturering_antall_brukere[mar.25],MATCH(Table_Fakturert_per_mnd[[#This Row],[Kommune]],Table_Fakturering_antall_brukere[Kommune],0)),0)*$C$7</f>
        <v>6366.0477453580897</v>
      </c>
      <c r="F15" s="76">
        <f>_xlfn.IFNA(INDEX(Table_Fakturering_antall_brukere[apr.25],MATCH(Table_Fakturert_per_mnd[[#This Row],[Kommune]],Table_Fakturering_antall_brukere[Kommune],0)),0)*$C$7</f>
        <v>6366.0477453580897</v>
      </c>
      <c r="G15" s="76">
        <f>_xlfn.IFNA(INDEX(Table_Fakturering_antall_brukere[mai.25],MATCH(Table_Fakturert_per_mnd[[#This Row],[Kommune]],Table_Fakturering_antall_brukere[Kommune],0)),0)*$C$7</f>
        <v>6366.0477453580897</v>
      </c>
      <c r="H15" s="76">
        <f>_xlfn.IFNA(INDEX(Table_Fakturering_antall_brukere[jun.25],MATCH(Table_Fakturert_per_mnd[[#This Row],[Kommune]],Table_Fakturering_antall_brukere[Kommune],0)),0)*$C$7</f>
        <v>6366.0477453580897</v>
      </c>
      <c r="I15" s="76">
        <f>_xlfn.IFNA(INDEX(Table_Fakturering_antall_brukere[jul.25],MATCH(Table_Fakturert_per_mnd[[#This Row],[Kommune]],Table_Fakturering_antall_brukere[Kommune],0)),0)*$C$7</f>
        <v>6366.0477453580897</v>
      </c>
      <c r="J15" s="76">
        <f>_xlfn.IFNA(INDEX(Table_Fakturering_antall_brukere[aug.25],MATCH(Table_Fakturert_per_mnd[[#This Row],[Kommune]],Table_Fakturering_antall_brukere[Kommune],0)),0)*$C$7</f>
        <v>6366.0477453580897</v>
      </c>
      <c r="K15" s="76">
        <f>_xlfn.IFNA(INDEX(Table_Fakturering_antall_brukere[sep.25],MATCH(Table_Fakturert_per_mnd[[#This Row],[Kommune]],Table_Fakturering_antall_brukere[Kommune],0)),0)*$C$7</f>
        <v>6366.0477453580897</v>
      </c>
      <c r="L15" s="76">
        <f>_xlfn.IFNA(INDEX(Table_Fakturering_antall_brukere[okt.25],MATCH(Table_Fakturert_per_mnd[[#This Row],[Kommune]],Table_Fakturering_antall_brukere[Kommune],0)),0)*$C$7</f>
        <v>6366.0477453580897</v>
      </c>
      <c r="M15" s="76">
        <f>_xlfn.IFNA(INDEX(Table_Fakturering_antall_brukere[nov.25],MATCH(Table_Fakturert_per_mnd[[#This Row],[Kommune]],Table_Fakturering_antall_brukere[Kommune],0)),0)*$C$7</f>
        <v>6366.0477453580897</v>
      </c>
      <c r="N15" s="76">
        <f>_xlfn.IFNA(INDEX(Table_Fakturering_antall_brukere[des.25],MATCH(Table_Fakturert_per_mnd[[#This Row],[Kommune]],Table_Fakturering_antall_brukere[Kommune],0)),0)*$C$7</f>
        <v>6366.0477453580897</v>
      </c>
      <c r="O15" s="53">
        <f>SUM(Table_Fakturert_per_mnd[[#This Row],[jan.25]:[des.25]])</f>
        <v>76392.572944297077</v>
      </c>
    </row>
    <row r="16" spans="2:15" ht="16.05" customHeight="1" x14ac:dyDescent="0.3">
      <c r="B16" s="93" t="s">
        <v>80</v>
      </c>
      <c r="C16" s="75">
        <f>_xlfn.IFNA(INDEX(Table_Fakturering_antall_brukere[jan.25],MATCH(Table_Fakturert_per_mnd[[#This Row],[Kommune]],Table_Fakturering_antall_brukere[Kommune],0)),0)*$C$7</f>
        <v>9549.0716180371346</v>
      </c>
      <c r="D16" s="75">
        <f>_xlfn.IFNA(INDEX(Table_Fakturering_antall_brukere[feb.25],MATCH(Table_Fakturert_per_mnd[[#This Row],[Kommune]],Table_Fakturering_antall_brukere[Kommune],0)),0)*$C$7</f>
        <v>10610.079575596817</v>
      </c>
      <c r="E16" s="75">
        <f>_xlfn.IFNA(INDEX(Table_Fakturering_antall_brukere[mar.25],MATCH(Table_Fakturert_per_mnd[[#This Row],[Kommune]],Table_Fakturering_antall_brukere[Kommune],0)),0)*$C$7</f>
        <v>10610.079575596817</v>
      </c>
      <c r="F16" s="75">
        <f>_xlfn.IFNA(INDEX(Table_Fakturering_antall_brukere[apr.25],MATCH(Table_Fakturert_per_mnd[[#This Row],[Kommune]],Table_Fakturering_antall_brukere[Kommune],0)),0)*$C$7</f>
        <v>10610.079575596817</v>
      </c>
      <c r="G16" s="75">
        <f>_xlfn.IFNA(INDEX(Table_Fakturering_antall_brukere[mai.25],MATCH(Table_Fakturert_per_mnd[[#This Row],[Kommune]],Table_Fakturering_antall_brukere[Kommune],0)),0)*$C$7</f>
        <v>10610.079575596817</v>
      </c>
      <c r="H16" s="75">
        <f>_xlfn.IFNA(INDEX(Table_Fakturering_antall_brukere[jun.25],MATCH(Table_Fakturert_per_mnd[[#This Row],[Kommune]],Table_Fakturering_antall_brukere[Kommune],0)),0)*$C$7</f>
        <v>10610.079575596817</v>
      </c>
      <c r="I16" s="75">
        <f>_xlfn.IFNA(INDEX(Table_Fakturering_antall_brukere[jul.25],MATCH(Table_Fakturert_per_mnd[[#This Row],[Kommune]],Table_Fakturering_antall_brukere[Kommune],0)),0)*$C$7</f>
        <v>9549.0716180371346</v>
      </c>
      <c r="J16" s="75">
        <f>_xlfn.IFNA(INDEX(Table_Fakturering_antall_brukere[aug.25],MATCH(Table_Fakturert_per_mnd[[#This Row],[Kommune]],Table_Fakturering_antall_brukere[Kommune],0)),0)*$C$7</f>
        <v>9549.0716180371346</v>
      </c>
      <c r="K16" s="75">
        <f>_xlfn.IFNA(INDEX(Table_Fakturering_antall_brukere[sep.25],MATCH(Table_Fakturert_per_mnd[[#This Row],[Kommune]],Table_Fakturering_antall_brukere[Kommune],0)),0)*$C$7</f>
        <v>9549.0716180371346</v>
      </c>
      <c r="L16" s="75">
        <f>_xlfn.IFNA(INDEX(Table_Fakturering_antall_brukere[okt.25],MATCH(Table_Fakturert_per_mnd[[#This Row],[Kommune]],Table_Fakturering_antall_brukere[Kommune],0)),0)*$C$7</f>
        <v>9549.0716180371346</v>
      </c>
      <c r="M16" s="75">
        <f>_xlfn.IFNA(INDEX(Table_Fakturering_antall_brukere[nov.25],MATCH(Table_Fakturert_per_mnd[[#This Row],[Kommune]],Table_Fakturering_antall_brukere[Kommune],0)),0)*$C$7</f>
        <v>9549.0716180371346</v>
      </c>
      <c r="N16" s="75">
        <f>_xlfn.IFNA(INDEX(Table_Fakturering_antall_brukere[des.25],MATCH(Table_Fakturert_per_mnd[[#This Row],[Kommune]],Table_Fakturering_antall_brukere[Kommune],0)),0)*$C$7</f>
        <v>9549.0716180371346</v>
      </c>
      <c r="O16" s="20">
        <f>SUM(Table_Fakturert_per_mnd[[#This Row],[jan.25]:[des.25]])</f>
        <v>119893.89920424405</v>
      </c>
    </row>
    <row r="17" spans="2:15" ht="16.05" customHeight="1" x14ac:dyDescent="0.3">
      <c r="B17" s="93" t="s">
        <v>81</v>
      </c>
      <c r="C17" s="76">
        <f>_xlfn.IFNA(INDEX(Table_Fakturering_antall_brukere[jan.25],MATCH(Table_Fakturert_per_mnd[[#This Row],[Kommune]],Table_Fakturering_antall_brukere[Kommune],0)),0)*$C$7</f>
        <v>6366.0477453580897</v>
      </c>
      <c r="D17" s="76">
        <f>_xlfn.IFNA(INDEX(Table_Fakturering_antall_brukere[feb.25],MATCH(Table_Fakturert_per_mnd[[#This Row],[Kommune]],Table_Fakturering_antall_brukere[Kommune],0)),0)*$C$7</f>
        <v>6366.0477453580897</v>
      </c>
      <c r="E17" s="76">
        <f>_xlfn.IFNA(INDEX(Table_Fakturering_antall_brukere[mar.25],MATCH(Table_Fakturert_per_mnd[[#This Row],[Kommune]],Table_Fakturering_antall_brukere[Kommune],0)),0)*$C$7</f>
        <v>6366.0477453580897</v>
      </c>
      <c r="F17" s="76">
        <f>_xlfn.IFNA(INDEX(Table_Fakturering_antall_brukere[apr.25],MATCH(Table_Fakturert_per_mnd[[#This Row],[Kommune]],Table_Fakturering_antall_brukere[Kommune],0)),0)*$C$7</f>
        <v>6366.0477453580897</v>
      </c>
      <c r="G17" s="76">
        <f>_xlfn.IFNA(INDEX(Table_Fakturering_antall_brukere[mai.25],MATCH(Table_Fakturert_per_mnd[[#This Row],[Kommune]],Table_Fakturering_antall_brukere[Kommune],0)),0)*$C$7</f>
        <v>6366.0477453580897</v>
      </c>
      <c r="H17" s="76">
        <f>_xlfn.IFNA(INDEX(Table_Fakturering_antall_brukere[jun.25],MATCH(Table_Fakturert_per_mnd[[#This Row],[Kommune]],Table_Fakturering_antall_brukere[Kommune],0)),0)*$C$7</f>
        <v>6366.0477453580897</v>
      </c>
      <c r="I17" s="76">
        <f>_xlfn.IFNA(INDEX(Table_Fakturering_antall_brukere[jul.25],MATCH(Table_Fakturert_per_mnd[[#This Row],[Kommune]],Table_Fakturering_antall_brukere[Kommune],0)),0)*$C$7</f>
        <v>6366.0477453580897</v>
      </c>
      <c r="J17" s="76">
        <f>_xlfn.IFNA(INDEX(Table_Fakturering_antall_brukere[aug.25],MATCH(Table_Fakturert_per_mnd[[#This Row],[Kommune]],Table_Fakturering_antall_brukere[Kommune],0)),0)*$C$7</f>
        <v>6366.0477453580897</v>
      </c>
      <c r="K17" s="76">
        <f>_xlfn.IFNA(INDEX(Table_Fakturering_antall_brukere[sep.25],MATCH(Table_Fakturert_per_mnd[[#This Row],[Kommune]],Table_Fakturering_antall_brukere[Kommune],0)),0)*$C$7</f>
        <v>6366.0477453580897</v>
      </c>
      <c r="L17" s="76">
        <f>_xlfn.IFNA(INDEX(Table_Fakturering_antall_brukere[okt.25],MATCH(Table_Fakturert_per_mnd[[#This Row],[Kommune]],Table_Fakturering_antall_brukere[Kommune],0)),0)*$C$7</f>
        <v>6366.0477453580897</v>
      </c>
      <c r="M17" s="76">
        <f>_xlfn.IFNA(INDEX(Table_Fakturering_antall_brukere[nov.25],MATCH(Table_Fakturert_per_mnd[[#This Row],[Kommune]],Table_Fakturering_antall_brukere[Kommune],0)),0)*$C$7</f>
        <v>6366.0477453580897</v>
      </c>
      <c r="N17" s="76">
        <f>_xlfn.IFNA(INDEX(Table_Fakturering_antall_brukere[des.25],MATCH(Table_Fakturert_per_mnd[[#This Row],[Kommune]],Table_Fakturering_antall_brukere[Kommune],0)),0)*$C$7</f>
        <v>6366.0477453580897</v>
      </c>
      <c r="O17" s="53">
        <f>SUM(Table_Fakturert_per_mnd[[#This Row],[jan.25]:[des.25]])</f>
        <v>76392.572944297077</v>
      </c>
    </row>
    <row r="18" spans="2:15" ht="16.05" customHeight="1" x14ac:dyDescent="0.3">
      <c r="B18" s="93" t="s">
        <v>82</v>
      </c>
      <c r="C18" s="75">
        <f>_xlfn.IFNA(INDEX(Table_Fakturering_antall_brukere[jan.25],MATCH(Table_Fakturert_per_mnd[[#This Row],[Kommune]],Table_Fakturering_antall_brukere[Kommune],0)),0)*$C$7</f>
        <v>23342.175066312997</v>
      </c>
      <c r="D18" s="75">
        <f>_xlfn.IFNA(INDEX(Table_Fakturering_antall_brukere[feb.25],MATCH(Table_Fakturert_per_mnd[[#This Row],[Kommune]],Table_Fakturering_antall_brukere[Kommune],0)),0)*$C$7</f>
        <v>23342.175066312997</v>
      </c>
      <c r="E18" s="75">
        <f>_xlfn.IFNA(INDEX(Table_Fakturering_antall_brukere[mar.25],MATCH(Table_Fakturert_per_mnd[[#This Row],[Kommune]],Table_Fakturering_antall_brukere[Kommune],0)),0)*$C$7</f>
        <v>23342.175066312997</v>
      </c>
      <c r="F18" s="75">
        <f>_xlfn.IFNA(INDEX(Table_Fakturering_antall_brukere[apr.25],MATCH(Table_Fakturert_per_mnd[[#This Row],[Kommune]],Table_Fakturering_antall_brukere[Kommune],0)),0)*$C$7</f>
        <v>23342.175066312997</v>
      </c>
      <c r="G18" s="75">
        <f>_xlfn.IFNA(INDEX(Table_Fakturering_antall_brukere[mai.25],MATCH(Table_Fakturert_per_mnd[[#This Row],[Kommune]],Table_Fakturering_antall_brukere[Kommune],0)),0)*$C$7</f>
        <v>23342.175066312997</v>
      </c>
      <c r="H18" s="75">
        <f>_xlfn.IFNA(INDEX(Table_Fakturering_antall_brukere[jun.25],MATCH(Table_Fakturert_per_mnd[[#This Row],[Kommune]],Table_Fakturering_antall_brukere[Kommune],0)),0)*$C$7</f>
        <v>23342.175066312997</v>
      </c>
      <c r="I18" s="75">
        <f>_xlfn.IFNA(INDEX(Table_Fakturering_antall_brukere[jul.25],MATCH(Table_Fakturert_per_mnd[[#This Row],[Kommune]],Table_Fakturering_antall_brukere[Kommune],0)),0)*$C$7</f>
        <v>23342.175066312997</v>
      </c>
      <c r="J18" s="75">
        <f>_xlfn.IFNA(INDEX(Table_Fakturering_antall_brukere[aug.25],MATCH(Table_Fakturert_per_mnd[[#This Row],[Kommune]],Table_Fakturering_antall_brukere[Kommune],0)),0)*$C$7</f>
        <v>23342.175066312997</v>
      </c>
      <c r="K18" s="75">
        <f>_xlfn.IFNA(INDEX(Table_Fakturering_antall_brukere[sep.25],MATCH(Table_Fakturert_per_mnd[[#This Row],[Kommune]],Table_Fakturering_antall_brukere[Kommune],0)),0)*$C$7</f>
        <v>23342.175066312997</v>
      </c>
      <c r="L18" s="75">
        <f>_xlfn.IFNA(INDEX(Table_Fakturering_antall_brukere[okt.25],MATCH(Table_Fakturert_per_mnd[[#This Row],[Kommune]],Table_Fakturering_antall_brukere[Kommune],0)),0)*$C$7</f>
        <v>23342.175066312997</v>
      </c>
      <c r="M18" s="75">
        <f>_xlfn.IFNA(INDEX(Table_Fakturering_antall_brukere[nov.25],MATCH(Table_Fakturert_per_mnd[[#This Row],[Kommune]],Table_Fakturering_antall_brukere[Kommune],0)),0)*$C$7</f>
        <v>23342.175066312997</v>
      </c>
      <c r="N18" s="75">
        <f>_xlfn.IFNA(INDEX(Table_Fakturering_antall_brukere[des.25],MATCH(Table_Fakturert_per_mnd[[#This Row],[Kommune]],Table_Fakturering_antall_brukere[Kommune],0)),0)*$C$7</f>
        <v>23342.175066312997</v>
      </c>
      <c r="O18" s="20">
        <f>SUM(Table_Fakturert_per_mnd[[#This Row],[jan.25]:[des.25]])</f>
        <v>280106.10079575604</v>
      </c>
    </row>
    <row r="19" spans="2:15" ht="16.05" customHeight="1" x14ac:dyDescent="0.3">
      <c r="B19" s="93" t="s">
        <v>83</v>
      </c>
      <c r="C19" s="76">
        <f>_xlfn.IFNA(INDEX(Table_Fakturering_antall_brukere[jan.25],MATCH(Table_Fakturert_per_mnd[[#This Row],[Kommune]],Table_Fakturering_antall_brukere[Kommune],0)),0)*$C$7</f>
        <v>8488.0636604774536</v>
      </c>
      <c r="D19" s="76">
        <f>_xlfn.IFNA(INDEX(Table_Fakturering_antall_brukere[feb.25],MATCH(Table_Fakturert_per_mnd[[#This Row],[Kommune]],Table_Fakturering_antall_brukere[Kommune],0)),0)*$C$7</f>
        <v>8488.0636604774536</v>
      </c>
      <c r="E19" s="76">
        <f>_xlfn.IFNA(INDEX(Table_Fakturering_antall_brukere[mar.25],MATCH(Table_Fakturert_per_mnd[[#This Row],[Kommune]],Table_Fakturering_antall_brukere[Kommune],0)),0)*$C$7</f>
        <v>8488.0636604774536</v>
      </c>
      <c r="F19" s="76">
        <f>_xlfn.IFNA(INDEX(Table_Fakturering_antall_brukere[apr.25],MATCH(Table_Fakturert_per_mnd[[#This Row],[Kommune]],Table_Fakturering_antall_brukere[Kommune],0)),0)*$C$7</f>
        <v>8488.0636604774536</v>
      </c>
      <c r="G19" s="76">
        <f>_xlfn.IFNA(INDEX(Table_Fakturering_antall_brukere[mai.25],MATCH(Table_Fakturert_per_mnd[[#This Row],[Kommune]],Table_Fakturering_antall_brukere[Kommune],0)),0)*$C$7</f>
        <v>8488.0636604774536</v>
      </c>
      <c r="H19" s="76">
        <f>_xlfn.IFNA(INDEX(Table_Fakturering_antall_brukere[jun.25],MATCH(Table_Fakturert_per_mnd[[#This Row],[Kommune]],Table_Fakturering_antall_brukere[Kommune],0)),0)*$C$7</f>
        <v>8488.0636604774536</v>
      </c>
      <c r="I19" s="76">
        <f>_xlfn.IFNA(INDEX(Table_Fakturering_antall_brukere[jul.25],MATCH(Table_Fakturert_per_mnd[[#This Row],[Kommune]],Table_Fakturering_antall_brukere[Kommune],0)),0)*$C$7</f>
        <v>8488.0636604774536</v>
      </c>
      <c r="J19" s="76">
        <f>_xlfn.IFNA(INDEX(Table_Fakturering_antall_brukere[aug.25],MATCH(Table_Fakturert_per_mnd[[#This Row],[Kommune]],Table_Fakturering_antall_brukere[Kommune],0)),0)*$C$7</f>
        <v>8488.0636604774536</v>
      </c>
      <c r="K19" s="76">
        <f>_xlfn.IFNA(INDEX(Table_Fakturering_antall_brukere[sep.25],MATCH(Table_Fakturert_per_mnd[[#This Row],[Kommune]],Table_Fakturering_antall_brukere[Kommune],0)),0)*$C$7</f>
        <v>8488.0636604774536</v>
      </c>
      <c r="L19" s="76">
        <f>_xlfn.IFNA(INDEX(Table_Fakturering_antall_brukere[okt.25],MATCH(Table_Fakturert_per_mnd[[#This Row],[Kommune]],Table_Fakturering_antall_brukere[Kommune],0)),0)*$C$7</f>
        <v>8488.0636604774536</v>
      </c>
      <c r="M19" s="76">
        <f>_xlfn.IFNA(INDEX(Table_Fakturering_antall_brukere[nov.25],MATCH(Table_Fakturert_per_mnd[[#This Row],[Kommune]],Table_Fakturering_antall_brukere[Kommune],0)),0)*$C$7</f>
        <v>8488.0636604774536</v>
      </c>
      <c r="N19" s="76">
        <f>_xlfn.IFNA(INDEX(Table_Fakturering_antall_brukere[des.25],MATCH(Table_Fakturert_per_mnd[[#This Row],[Kommune]],Table_Fakturering_antall_brukere[Kommune],0)),0)*$C$7</f>
        <v>8488.0636604774536</v>
      </c>
      <c r="O19" s="53">
        <f>SUM(Table_Fakturert_per_mnd[[#This Row],[jan.25]:[des.25]])</f>
        <v>101856.76392572942</v>
      </c>
    </row>
    <row r="20" spans="2:15" ht="16.05" customHeight="1" x14ac:dyDescent="0.3">
      <c r="B20" s="93" t="s">
        <v>84</v>
      </c>
      <c r="C20" s="75">
        <f>_xlfn.IFNA(INDEX(Table_Fakturering_antall_brukere[jan.25],MATCH(Table_Fakturert_per_mnd[[#This Row],[Kommune]],Table_Fakturering_antall_brukere[Kommune],0)),0)*$C$7</f>
        <v>12732.095490716179</v>
      </c>
      <c r="D20" s="75">
        <f>_xlfn.IFNA(INDEX(Table_Fakturering_antall_brukere[feb.25],MATCH(Table_Fakturert_per_mnd[[#This Row],[Kommune]],Table_Fakturering_antall_brukere[Kommune],0)),0)*$C$7</f>
        <v>12732.095490716179</v>
      </c>
      <c r="E20" s="75">
        <f>_xlfn.IFNA(INDEX(Table_Fakturering_antall_brukere[mar.25],MATCH(Table_Fakturert_per_mnd[[#This Row],[Kommune]],Table_Fakturering_antall_brukere[Kommune],0)),0)*$C$7</f>
        <v>12732.095490716179</v>
      </c>
      <c r="F20" s="75">
        <f>_xlfn.IFNA(INDEX(Table_Fakturering_antall_brukere[apr.25],MATCH(Table_Fakturert_per_mnd[[#This Row],[Kommune]],Table_Fakturering_antall_brukere[Kommune],0)),0)*$C$7</f>
        <v>12732.095490716179</v>
      </c>
      <c r="G20" s="75">
        <f>_xlfn.IFNA(INDEX(Table_Fakturering_antall_brukere[mai.25],MATCH(Table_Fakturert_per_mnd[[#This Row],[Kommune]],Table_Fakturering_antall_brukere[Kommune],0)),0)*$C$7</f>
        <v>12732.095490716179</v>
      </c>
      <c r="H20" s="75">
        <f>_xlfn.IFNA(INDEX(Table_Fakturering_antall_brukere[jun.25],MATCH(Table_Fakturert_per_mnd[[#This Row],[Kommune]],Table_Fakturering_antall_brukere[Kommune],0)),0)*$C$7</f>
        <v>12732.095490716179</v>
      </c>
      <c r="I20" s="75">
        <f>_xlfn.IFNA(INDEX(Table_Fakturering_antall_brukere[jul.25],MATCH(Table_Fakturert_per_mnd[[#This Row],[Kommune]],Table_Fakturering_antall_brukere[Kommune],0)),0)*$C$7</f>
        <v>12732.095490716179</v>
      </c>
      <c r="J20" s="75">
        <f>_xlfn.IFNA(INDEX(Table_Fakturering_antall_brukere[aug.25],MATCH(Table_Fakturert_per_mnd[[#This Row],[Kommune]],Table_Fakturering_antall_brukere[Kommune],0)),0)*$C$7</f>
        <v>12732.095490716179</v>
      </c>
      <c r="K20" s="75">
        <f>_xlfn.IFNA(INDEX(Table_Fakturering_antall_brukere[sep.25],MATCH(Table_Fakturert_per_mnd[[#This Row],[Kommune]],Table_Fakturering_antall_brukere[Kommune],0)),0)*$C$7</f>
        <v>12732.095490716179</v>
      </c>
      <c r="L20" s="75">
        <f>_xlfn.IFNA(INDEX(Table_Fakturering_antall_brukere[okt.25],MATCH(Table_Fakturert_per_mnd[[#This Row],[Kommune]],Table_Fakturering_antall_brukere[Kommune],0)),0)*$C$7</f>
        <v>12732.095490716179</v>
      </c>
      <c r="M20" s="75">
        <f>_xlfn.IFNA(INDEX(Table_Fakturering_antall_brukere[nov.25],MATCH(Table_Fakturert_per_mnd[[#This Row],[Kommune]],Table_Fakturering_antall_brukere[Kommune],0)),0)*$C$7</f>
        <v>12732.095490716179</v>
      </c>
      <c r="N20" s="75">
        <f>_xlfn.IFNA(INDEX(Table_Fakturering_antall_brukere[des.25],MATCH(Table_Fakturert_per_mnd[[#This Row],[Kommune]],Table_Fakturering_antall_brukere[Kommune],0)),0)*$C$7</f>
        <v>12732.095490716179</v>
      </c>
      <c r="O20" s="20">
        <f>SUM(Table_Fakturert_per_mnd[[#This Row],[jan.25]:[des.25]])</f>
        <v>152785.14588859415</v>
      </c>
    </row>
    <row r="21" spans="2:15" ht="16.05" customHeight="1" x14ac:dyDescent="0.3">
      <c r="B21" s="93" t="s">
        <v>85</v>
      </c>
      <c r="C21" s="76">
        <f>_xlfn.IFNA(INDEX(Table_Fakturering_antall_brukere[jan.25],MATCH(Table_Fakturert_per_mnd[[#This Row],[Kommune]],Table_Fakturering_antall_brukere[Kommune],0)),0)*$C$7</f>
        <v>15915.119363395226</v>
      </c>
      <c r="D21" s="76">
        <f>_xlfn.IFNA(INDEX(Table_Fakturering_antall_brukere[feb.25],MATCH(Table_Fakturert_per_mnd[[#This Row],[Kommune]],Table_Fakturering_antall_brukere[Kommune],0)),0)*$C$7</f>
        <v>15915.119363395226</v>
      </c>
      <c r="E21" s="76">
        <f>_xlfn.IFNA(INDEX(Table_Fakturering_antall_brukere[mar.25],MATCH(Table_Fakturert_per_mnd[[#This Row],[Kommune]],Table_Fakturering_antall_brukere[Kommune],0)),0)*$C$7</f>
        <v>15915.119363395226</v>
      </c>
      <c r="F21" s="76">
        <f>_xlfn.IFNA(INDEX(Table_Fakturering_antall_brukere[apr.25],MATCH(Table_Fakturert_per_mnd[[#This Row],[Kommune]],Table_Fakturering_antall_brukere[Kommune],0)),0)*$C$7</f>
        <v>15915.119363395226</v>
      </c>
      <c r="G21" s="76">
        <f>_xlfn.IFNA(INDEX(Table_Fakturering_antall_brukere[mai.25],MATCH(Table_Fakturert_per_mnd[[#This Row],[Kommune]],Table_Fakturering_antall_brukere[Kommune],0)),0)*$C$7</f>
        <v>15915.119363395226</v>
      </c>
      <c r="H21" s="76">
        <f>_xlfn.IFNA(INDEX(Table_Fakturering_antall_brukere[jun.25],MATCH(Table_Fakturert_per_mnd[[#This Row],[Kommune]],Table_Fakturering_antall_brukere[Kommune],0)),0)*$C$7</f>
        <v>15915.119363395226</v>
      </c>
      <c r="I21" s="76">
        <f>_xlfn.IFNA(INDEX(Table_Fakturering_antall_brukere[jul.25],MATCH(Table_Fakturert_per_mnd[[#This Row],[Kommune]],Table_Fakturering_antall_brukere[Kommune],0)),0)*$C$7</f>
        <v>15915.119363395226</v>
      </c>
      <c r="J21" s="76">
        <f>_xlfn.IFNA(INDEX(Table_Fakturering_antall_brukere[aug.25],MATCH(Table_Fakturert_per_mnd[[#This Row],[Kommune]],Table_Fakturering_antall_brukere[Kommune],0)),0)*$C$7</f>
        <v>15915.119363395226</v>
      </c>
      <c r="K21" s="76">
        <f>_xlfn.IFNA(INDEX(Table_Fakturering_antall_brukere[sep.25],MATCH(Table_Fakturert_per_mnd[[#This Row],[Kommune]],Table_Fakturering_antall_brukere[Kommune],0)),0)*$C$7</f>
        <v>15915.119363395226</v>
      </c>
      <c r="L21" s="76">
        <f>_xlfn.IFNA(INDEX(Table_Fakturering_antall_brukere[okt.25],MATCH(Table_Fakturert_per_mnd[[#This Row],[Kommune]],Table_Fakturering_antall_brukere[Kommune],0)),0)*$C$7</f>
        <v>15915.119363395226</v>
      </c>
      <c r="M21" s="76">
        <f>_xlfn.IFNA(INDEX(Table_Fakturering_antall_brukere[nov.25],MATCH(Table_Fakturert_per_mnd[[#This Row],[Kommune]],Table_Fakturering_antall_brukere[Kommune],0)),0)*$C$7</f>
        <v>15915.119363395226</v>
      </c>
      <c r="N21" s="76">
        <f>_xlfn.IFNA(INDEX(Table_Fakturering_antall_brukere[des.25],MATCH(Table_Fakturert_per_mnd[[#This Row],[Kommune]],Table_Fakturering_antall_brukere[Kommune],0)),0)*$C$7</f>
        <v>15915.119363395226</v>
      </c>
      <c r="O21" s="53">
        <f>SUM(Table_Fakturert_per_mnd[[#This Row],[jan.25]:[des.25]])</f>
        <v>190981.43236074274</v>
      </c>
    </row>
    <row r="22" spans="2:15" ht="16.05" customHeight="1" x14ac:dyDescent="0.3">
      <c r="B22" s="93" t="s">
        <v>86</v>
      </c>
      <c r="C22" s="75">
        <f>_xlfn.IFNA(INDEX(Table_Fakturering_antall_brukere[jan.25],MATCH(Table_Fakturert_per_mnd[[#This Row],[Kommune]],Table_Fakturering_antall_brukere[Kommune],0)),0)*$C$7</f>
        <v>0</v>
      </c>
      <c r="D22" s="75">
        <f>_xlfn.IFNA(INDEX(Table_Fakturering_antall_brukere[feb.25],MATCH(Table_Fakturert_per_mnd[[#This Row],[Kommune]],Table_Fakturering_antall_brukere[Kommune],0)),0)*$C$7</f>
        <v>0</v>
      </c>
      <c r="E22" s="75">
        <f>_xlfn.IFNA(INDEX(Table_Fakturering_antall_brukere[mar.25],MATCH(Table_Fakturert_per_mnd[[#This Row],[Kommune]],Table_Fakturering_antall_brukere[Kommune],0)),0)*$C$7</f>
        <v>10610.079575596817</v>
      </c>
      <c r="F22" s="75">
        <f>_xlfn.IFNA(INDEX(Table_Fakturering_antall_brukere[apr.25],MATCH(Table_Fakturert_per_mnd[[#This Row],[Kommune]],Table_Fakturering_antall_brukere[Kommune],0)),0)*$C$7</f>
        <v>15915.119363395226</v>
      </c>
      <c r="G22" s="75">
        <f>_xlfn.IFNA(INDEX(Table_Fakturering_antall_brukere[mai.25],MATCH(Table_Fakturert_per_mnd[[#This Row],[Kommune]],Table_Fakturering_antall_brukere[Kommune],0)),0)*$C$7</f>
        <v>21220.159151193635</v>
      </c>
      <c r="H22" s="75">
        <f>_xlfn.IFNA(INDEX(Table_Fakturering_antall_brukere[jun.25],MATCH(Table_Fakturert_per_mnd[[#This Row],[Kommune]],Table_Fakturering_antall_brukere[Kommune],0)),0)*$C$7</f>
        <v>21220.159151193635</v>
      </c>
      <c r="I22" s="75">
        <f>_xlfn.IFNA(INDEX(Table_Fakturering_antall_brukere[jul.25],MATCH(Table_Fakturert_per_mnd[[#This Row],[Kommune]],Table_Fakturering_antall_brukere[Kommune],0)),0)*$C$7</f>
        <v>21220.159151193635</v>
      </c>
      <c r="J22" s="75">
        <f>_xlfn.IFNA(INDEX(Table_Fakturering_antall_brukere[aug.25],MATCH(Table_Fakturert_per_mnd[[#This Row],[Kommune]],Table_Fakturering_antall_brukere[Kommune],0)),0)*$C$7</f>
        <v>21220.159151193635</v>
      </c>
      <c r="K22" s="75">
        <f>_xlfn.IFNA(INDEX(Table_Fakturering_antall_brukere[sep.25],MATCH(Table_Fakturert_per_mnd[[#This Row],[Kommune]],Table_Fakturering_antall_brukere[Kommune],0)),0)*$C$7</f>
        <v>21220.159151193635</v>
      </c>
      <c r="L22" s="75">
        <f>_xlfn.IFNA(INDEX(Table_Fakturering_antall_brukere[okt.25],MATCH(Table_Fakturert_per_mnd[[#This Row],[Kommune]],Table_Fakturering_antall_brukere[Kommune],0)),0)*$C$7</f>
        <v>21220.159151193635</v>
      </c>
      <c r="M22" s="75">
        <f>_xlfn.IFNA(INDEX(Table_Fakturering_antall_brukere[nov.25],MATCH(Table_Fakturert_per_mnd[[#This Row],[Kommune]],Table_Fakturering_antall_brukere[Kommune],0)),0)*$C$7</f>
        <v>21220.159151193635</v>
      </c>
      <c r="N22" s="75">
        <f>_xlfn.IFNA(INDEX(Table_Fakturering_antall_brukere[des.25],MATCH(Table_Fakturert_per_mnd[[#This Row],[Kommune]],Table_Fakturering_antall_brukere[Kommune],0)),0)*$C$7</f>
        <v>21220.159151193635</v>
      </c>
      <c r="O22" s="20">
        <f>SUM(Table_Fakturert_per_mnd[[#This Row],[jan.25]:[des.25]])</f>
        <v>196286.47214854107</v>
      </c>
    </row>
    <row r="23" spans="2:15" ht="16.05" customHeight="1" x14ac:dyDescent="0.3">
      <c r="B23" s="93" t="s">
        <v>87</v>
      </c>
      <c r="C23" s="76">
        <f>_xlfn.IFNA(INDEX(Table_Fakturering_antall_brukere[jan.25],MATCH(Table_Fakturert_per_mnd[[#This Row],[Kommune]],Table_Fakturering_antall_brukere[Kommune],0)),0)*$C$7</f>
        <v>0</v>
      </c>
      <c r="D23" s="76">
        <f>_xlfn.IFNA(INDEX(Table_Fakturering_antall_brukere[feb.25],MATCH(Table_Fakturert_per_mnd[[#This Row],[Kommune]],Table_Fakturering_antall_brukere[Kommune],0)),0)*$C$7</f>
        <v>0</v>
      </c>
      <c r="E23" s="76">
        <f>_xlfn.IFNA(INDEX(Table_Fakturering_antall_brukere[mar.25],MATCH(Table_Fakturert_per_mnd[[#This Row],[Kommune]],Table_Fakturering_antall_brukere[Kommune],0)),0)*$C$7</f>
        <v>0</v>
      </c>
      <c r="F23" s="76">
        <f>_xlfn.IFNA(INDEX(Table_Fakturering_antall_brukere[apr.25],MATCH(Table_Fakturert_per_mnd[[#This Row],[Kommune]],Table_Fakturering_antall_brukere[Kommune],0)),0)*$C$7</f>
        <v>0</v>
      </c>
      <c r="G23" s="76">
        <f>_xlfn.IFNA(INDEX(Table_Fakturering_antall_brukere[mai.25],MATCH(Table_Fakturert_per_mnd[[#This Row],[Kommune]],Table_Fakturering_antall_brukere[Kommune],0)),0)*$C$7</f>
        <v>0</v>
      </c>
      <c r="H23" s="76">
        <f>_xlfn.IFNA(INDEX(Table_Fakturering_antall_brukere[jun.25],MATCH(Table_Fakturert_per_mnd[[#This Row],[Kommune]],Table_Fakturering_antall_brukere[Kommune],0)),0)*$C$7</f>
        <v>5305.0397877984087</v>
      </c>
      <c r="I23" s="76">
        <f>_xlfn.IFNA(INDEX(Table_Fakturering_antall_brukere[jul.25],MATCH(Table_Fakturert_per_mnd[[#This Row],[Kommune]],Table_Fakturering_antall_brukere[Kommune],0)),0)*$C$7</f>
        <v>5305.0397877984087</v>
      </c>
      <c r="J23" s="76">
        <f>_xlfn.IFNA(INDEX(Table_Fakturering_antall_brukere[aug.25],MATCH(Table_Fakturert_per_mnd[[#This Row],[Kommune]],Table_Fakturering_antall_brukere[Kommune],0)),0)*$C$7</f>
        <v>5305.0397877984087</v>
      </c>
      <c r="K23" s="76">
        <f>_xlfn.IFNA(INDEX(Table_Fakturering_antall_brukere[sep.25],MATCH(Table_Fakturert_per_mnd[[#This Row],[Kommune]],Table_Fakturering_antall_brukere[Kommune],0)),0)*$C$7</f>
        <v>5305.0397877984087</v>
      </c>
      <c r="L23" s="76">
        <f>_xlfn.IFNA(INDEX(Table_Fakturering_antall_brukere[okt.25],MATCH(Table_Fakturert_per_mnd[[#This Row],[Kommune]],Table_Fakturering_antall_brukere[Kommune],0)),0)*$C$7</f>
        <v>5305.0397877984087</v>
      </c>
      <c r="M23" s="76">
        <f>_xlfn.IFNA(INDEX(Table_Fakturering_antall_brukere[nov.25],MATCH(Table_Fakturert_per_mnd[[#This Row],[Kommune]],Table_Fakturering_antall_brukere[Kommune],0)),0)*$C$7</f>
        <v>5305.0397877984087</v>
      </c>
      <c r="N23" s="76">
        <f>_xlfn.IFNA(INDEX(Table_Fakturering_antall_brukere[des.25],MATCH(Table_Fakturert_per_mnd[[#This Row],[Kommune]],Table_Fakturering_antall_brukere[Kommune],0)),0)*$C$7</f>
        <v>5305.0397877984087</v>
      </c>
      <c r="O23" s="53">
        <f>SUM(Table_Fakturert_per_mnd[[#This Row],[jan.25]:[des.25]])</f>
        <v>37135.278514588856</v>
      </c>
    </row>
    <row r="24" spans="2:15" ht="16.05" customHeight="1" x14ac:dyDescent="0.3">
      <c r="B24" s="99" t="s">
        <v>88</v>
      </c>
      <c r="C24" s="75">
        <f>_xlfn.IFNA(INDEX(Table_Fakturering_antall_brukere[jan.25],MATCH(Table_Fakturert_per_mnd[[#This Row],[Kommune]],Table_Fakturering_antall_brukere[Kommune],0)),0)*$C$7</f>
        <v>0</v>
      </c>
      <c r="D24" s="75">
        <f>_xlfn.IFNA(INDEX(Table_Fakturering_antall_brukere[feb.25],MATCH(Table_Fakturert_per_mnd[[#This Row],[Kommune]],Table_Fakturering_antall_brukere[Kommune],0)),0)*$C$7</f>
        <v>0</v>
      </c>
      <c r="E24" s="75">
        <f>_xlfn.IFNA(INDEX(Table_Fakturering_antall_brukere[mar.25],MATCH(Table_Fakturert_per_mnd[[#This Row],[Kommune]],Table_Fakturering_antall_brukere[Kommune],0)),0)*$C$7</f>
        <v>0</v>
      </c>
      <c r="F24" s="75">
        <f>_xlfn.IFNA(INDEX(Table_Fakturering_antall_brukere[apr.25],MATCH(Table_Fakturert_per_mnd[[#This Row],[Kommune]],Table_Fakturering_antall_brukere[Kommune],0)),0)*$C$7</f>
        <v>0</v>
      </c>
      <c r="G24" s="75">
        <f>_xlfn.IFNA(INDEX(Table_Fakturering_antall_brukere[mai.25],MATCH(Table_Fakturert_per_mnd[[#This Row],[Kommune]],Table_Fakturering_antall_brukere[Kommune],0)),0)*$C$7</f>
        <v>0</v>
      </c>
      <c r="H24" s="75">
        <f>_xlfn.IFNA(INDEX(Table_Fakturering_antall_brukere[jun.25],MATCH(Table_Fakturert_per_mnd[[#This Row],[Kommune]],Table_Fakturering_antall_brukere[Kommune],0)),0)*$C$7</f>
        <v>0</v>
      </c>
      <c r="I24" s="75">
        <f>_xlfn.IFNA(INDEX(Table_Fakturering_antall_brukere[jul.25],MATCH(Table_Fakturert_per_mnd[[#This Row],[Kommune]],Table_Fakturering_antall_brukere[Kommune],0)),0)*$C$7</f>
        <v>0</v>
      </c>
      <c r="J24" s="75">
        <f>_xlfn.IFNA(INDEX(Table_Fakturering_antall_brukere[aug.25],MATCH(Table_Fakturert_per_mnd[[#This Row],[Kommune]],Table_Fakturering_antall_brukere[Kommune],0)),0)*$C$7</f>
        <v>5305.0397877984087</v>
      </c>
      <c r="K24" s="75">
        <f>_xlfn.IFNA(INDEX(Table_Fakturering_antall_brukere[sep.25],MATCH(Table_Fakturert_per_mnd[[#This Row],[Kommune]],Table_Fakturering_antall_brukere[Kommune],0)),0)*$C$7</f>
        <v>5305.0397877984087</v>
      </c>
      <c r="L24" s="75">
        <f>_xlfn.IFNA(INDEX(Table_Fakturering_antall_brukere[okt.25],MATCH(Table_Fakturert_per_mnd[[#This Row],[Kommune]],Table_Fakturering_antall_brukere[Kommune],0)),0)*$C$7</f>
        <v>5305.0397877984087</v>
      </c>
      <c r="M24" s="75">
        <f>_xlfn.IFNA(INDEX(Table_Fakturering_antall_brukere[nov.25],MATCH(Table_Fakturert_per_mnd[[#This Row],[Kommune]],Table_Fakturering_antall_brukere[Kommune],0)),0)*$C$7</f>
        <v>5305.0397877984087</v>
      </c>
      <c r="N24" s="75">
        <f>_xlfn.IFNA(INDEX(Table_Fakturering_antall_brukere[des.25],MATCH(Table_Fakturert_per_mnd[[#This Row],[Kommune]],Table_Fakturering_antall_brukere[Kommune],0)),0)*$C$7</f>
        <v>5305.0397877984087</v>
      </c>
      <c r="O24" s="20">
        <f>SUM(Table_Fakturert_per_mnd[[#This Row],[jan.25]:[des.25]])</f>
        <v>26525.198938992042</v>
      </c>
    </row>
    <row r="25" spans="2:15" ht="16.05" customHeight="1" x14ac:dyDescent="0.3">
      <c r="B25" s="88" t="s">
        <v>89</v>
      </c>
      <c r="C25" s="76">
        <f>_xlfn.IFNA(INDEX(Table_Fakturering_antall_brukere[jan.25],MATCH(Table_Fakturert_per_mnd[[#This Row],[Kommune]],Table_Fakturering_antall_brukere[Kommune],0)),0)*$C$7</f>
        <v>0</v>
      </c>
      <c r="D25" s="76">
        <f>_xlfn.IFNA(INDEX(Table_Fakturering_antall_brukere[feb.25],MATCH(Table_Fakturert_per_mnd[[#This Row],[Kommune]],Table_Fakturering_antall_brukere[Kommune],0)),0)*$C$7</f>
        <v>0</v>
      </c>
      <c r="E25" s="76">
        <f>_xlfn.IFNA(INDEX(Table_Fakturering_antall_brukere[mar.25],MATCH(Table_Fakturert_per_mnd[[#This Row],[Kommune]],Table_Fakturering_antall_brukere[Kommune],0)),0)*$C$7</f>
        <v>0</v>
      </c>
      <c r="F25" s="76">
        <f>_xlfn.IFNA(INDEX(Table_Fakturering_antall_brukere[apr.25],MATCH(Table_Fakturert_per_mnd[[#This Row],[Kommune]],Table_Fakturering_antall_brukere[Kommune],0)),0)*$C$7</f>
        <v>0</v>
      </c>
      <c r="G25" s="76">
        <f>_xlfn.IFNA(INDEX(Table_Fakturering_antall_brukere[mai.25],MATCH(Table_Fakturert_per_mnd[[#This Row],[Kommune]],Table_Fakturering_antall_brukere[Kommune],0)),0)*$C$7</f>
        <v>0</v>
      </c>
      <c r="H25" s="76">
        <f>_xlfn.IFNA(INDEX(Table_Fakturering_antall_brukere[jun.25],MATCH(Table_Fakturert_per_mnd[[#This Row],[Kommune]],Table_Fakturering_antall_brukere[Kommune],0)),0)*$C$7</f>
        <v>0</v>
      </c>
      <c r="I25" s="76">
        <f>_xlfn.IFNA(INDEX(Table_Fakturering_antall_brukere[jul.25],MATCH(Table_Fakturert_per_mnd[[#This Row],[Kommune]],Table_Fakturering_antall_brukere[Kommune],0)),0)*$C$7</f>
        <v>0</v>
      </c>
      <c r="J25" s="76">
        <f>_xlfn.IFNA(INDEX(Table_Fakturering_antall_brukere[aug.25],MATCH(Table_Fakturert_per_mnd[[#This Row],[Kommune]],Table_Fakturering_antall_brukere[Kommune],0)),0)*$C$7</f>
        <v>0</v>
      </c>
      <c r="K25" s="76">
        <f>_xlfn.IFNA(INDEX(Table_Fakturering_antall_brukere[sep.25],MATCH(Table_Fakturert_per_mnd[[#This Row],[Kommune]],Table_Fakturering_antall_brukere[Kommune],0)),0)*$C$7</f>
        <v>0</v>
      </c>
      <c r="L25" s="76">
        <f>_xlfn.IFNA(INDEX(Table_Fakturering_antall_brukere[okt.25],MATCH(Table_Fakturert_per_mnd[[#This Row],[Kommune]],Table_Fakturering_antall_brukere[Kommune],0)),0)*$C$7</f>
        <v>5305.0397877984087</v>
      </c>
      <c r="M25" s="76">
        <f>_xlfn.IFNA(INDEX(Table_Fakturering_antall_brukere[nov.25],MATCH(Table_Fakturert_per_mnd[[#This Row],[Kommune]],Table_Fakturering_antall_brukere[Kommune],0)),0)*$C$7</f>
        <v>6366.0477453580897</v>
      </c>
      <c r="N25" s="76">
        <f>_xlfn.IFNA(INDEX(Table_Fakturering_antall_brukere[des.25],MATCH(Table_Fakturert_per_mnd[[#This Row],[Kommune]],Table_Fakturering_antall_brukere[Kommune],0)),0)*$C$7</f>
        <v>5305.0397877984087</v>
      </c>
      <c r="O25" s="54">
        <f>SUM(Table_Fakturert_per_mnd[[#This Row],[jan.25]:[des.25]])</f>
        <v>16976.127320954907</v>
      </c>
    </row>
    <row r="26" spans="2:15" x14ac:dyDescent="0.3">
      <c r="C26" s="25"/>
      <c r="D26" s="25"/>
      <c r="E26" s="25"/>
      <c r="F26" s="25"/>
      <c r="G26" s="25"/>
      <c r="H26" s="25"/>
      <c r="I26" s="25"/>
      <c r="J26" s="25"/>
      <c r="K26" s="25"/>
      <c r="L26" s="25"/>
      <c r="M26" s="25"/>
      <c r="N26" s="25"/>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Introduksjon</vt:lpstr>
      <vt:lpstr>Kostnadsoversikt</vt:lpstr>
      <vt:lpstr>Måltall og kostnadsestimering</vt:lpstr>
      <vt:lpstr>Faktisk antall brukere</vt:lpstr>
      <vt:lpstr>Fakturerbart antall brukere</vt:lpstr>
      <vt:lpstr>Fakturering</vt:lpstr>
    </vt:vector>
  </TitlesOfParts>
  <Company>PricewaterhouseCoopers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Eugenia Nakken</dc:creator>
  <cp:lastModifiedBy>Eugenia Nakken</cp:lastModifiedBy>
  <dcterms:created xsi:type="dcterms:W3CDTF">2024-06-10T12:14:42Z</dcterms:created>
  <dcterms:modified xsi:type="dcterms:W3CDTF">2024-12-18T11:28:49Z</dcterms:modified>
</cp:coreProperties>
</file>